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erk\OneDrive\Документы\Дача\"/>
    </mc:Choice>
  </mc:AlternateContent>
  <xr:revisionPtr revIDLastSave="0" documentId="13_ncr:1_{5C537B0E-E0B5-4A76-AE97-57B0D04C25F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Отчет сводный" sheetId="4" r:id="rId1"/>
    <sheet name="приход 22-23" sheetId="5" r:id="rId2"/>
    <sheet name="расход касса1" sheetId="7" r:id="rId3"/>
    <sheet name="расход23-24" sheetId="6" r:id="rId4"/>
    <sheet name="банк2023" sheetId="11" r:id="rId5"/>
    <sheet name="общий банк" sheetId="12" r:id="rId6"/>
    <sheet name="банк 2024" sheetId="13" r:id="rId7"/>
    <sheet name="свод.банк24" sheetId="14" r:id="rId8"/>
  </sheets>
  <externalReferences>
    <externalReference r:id="rId9"/>
    <externalReference r:id="rId10"/>
  </externalReferences>
  <definedNames>
    <definedName name="JR_PAGE_ANCHOR_0_1">#REF!</definedName>
    <definedName name="_xlnm.Print_Area" localSheetId="1">'приход 22-23'!$A$1:$G$23</definedName>
    <definedName name="_xlnm.Print_Area" localSheetId="3">'расход23-24'!$A$1:$H$24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8" i="4" l="1"/>
  <c r="G36" i="4"/>
  <c r="E36" i="4" l="1"/>
  <c r="D36" i="4"/>
  <c r="G23" i="4"/>
  <c r="B22" i="7"/>
  <c r="J95" i="13"/>
  <c r="I95" i="13"/>
  <c r="H95" i="13"/>
  <c r="G95" i="13"/>
  <c r="F95" i="13"/>
  <c r="E95" i="13"/>
  <c r="D95" i="13"/>
  <c r="C95" i="13"/>
  <c r="B95" i="13"/>
  <c r="K94" i="13"/>
  <c r="G14" i="14" s="1"/>
  <c r="K93" i="13"/>
  <c r="G13" i="14" s="1"/>
  <c r="K92" i="13"/>
  <c r="G12" i="14" s="1"/>
  <c r="K91" i="13"/>
  <c r="G11" i="14" s="1"/>
  <c r="K90" i="13"/>
  <c r="G10" i="14" s="1"/>
  <c r="K89" i="13"/>
  <c r="G9" i="14" s="1"/>
  <c r="K88" i="13"/>
  <c r="G8" i="14" s="1"/>
  <c r="K87" i="13"/>
  <c r="G7" i="14" s="1"/>
  <c r="K86" i="13"/>
  <c r="G6" i="14" s="1"/>
  <c r="K85" i="13"/>
  <c r="G5" i="14" s="1"/>
  <c r="K84" i="13"/>
  <c r="G4" i="14" s="1"/>
  <c r="K83" i="13"/>
  <c r="G3" i="14" s="1"/>
  <c r="K95" i="13" l="1"/>
  <c r="E22" i="5" l="1"/>
  <c r="D22" i="5"/>
  <c r="C22" i="5"/>
  <c r="B22" i="5"/>
  <c r="G22" i="5" s="1"/>
  <c r="F9" i="4" l="1"/>
  <c r="F11" i="4" s="1"/>
  <c r="F45" i="4"/>
  <c r="E55" i="4"/>
  <c r="E56" i="4" s="1"/>
  <c r="D55" i="4"/>
  <c r="D56" i="4" s="1"/>
  <c r="E53" i="4" l="1"/>
  <c r="G53" i="4"/>
  <c r="D53" i="4"/>
  <c r="F54" i="4"/>
  <c r="F52" i="4"/>
  <c r="F51" i="4"/>
  <c r="D57" i="4" l="1"/>
  <c r="F53" i="4"/>
  <c r="E57" i="4"/>
  <c r="F55" i="4"/>
  <c r="F57" i="4" s="1"/>
  <c r="E23" i="4"/>
  <c r="C14" i="7"/>
  <c r="G14" i="7" s="1"/>
  <c r="G13" i="7"/>
  <c r="C12" i="7"/>
  <c r="G12" i="7" s="1"/>
  <c r="B11" i="7"/>
  <c r="G11" i="7" s="1"/>
  <c r="G10" i="7"/>
  <c r="C9" i="7"/>
  <c r="B9" i="7"/>
  <c r="G9" i="7" l="1"/>
  <c r="F56" i="4"/>
  <c r="E30" i="4"/>
  <c r="E33" i="4"/>
  <c r="C12" i="4" l="1"/>
  <c r="C19" i="4"/>
  <c r="C28" i="4"/>
  <c r="C46" i="4" l="1"/>
  <c r="M14" i="14"/>
  <c r="L14" i="14"/>
  <c r="K14" i="14"/>
  <c r="J14" i="14"/>
  <c r="I14" i="14"/>
  <c r="H14" i="14"/>
  <c r="F14" i="14"/>
  <c r="E14" i="14"/>
  <c r="D14" i="14"/>
  <c r="C14" i="14"/>
  <c r="B14" i="14"/>
  <c r="M13" i="14"/>
  <c r="L13" i="14"/>
  <c r="K13" i="14"/>
  <c r="J13" i="14"/>
  <c r="I13" i="14"/>
  <c r="H13" i="14"/>
  <c r="F13" i="14"/>
  <c r="E13" i="14"/>
  <c r="D13" i="14"/>
  <c r="C13" i="14"/>
  <c r="B13" i="14"/>
  <c r="M12" i="14"/>
  <c r="L12" i="14"/>
  <c r="K12" i="14"/>
  <c r="J12" i="14"/>
  <c r="I12" i="14"/>
  <c r="H12" i="14"/>
  <c r="F12" i="14"/>
  <c r="E12" i="14"/>
  <c r="D12" i="14"/>
  <c r="C12" i="14"/>
  <c r="B12" i="14"/>
  <c r="M11" i="14"/>
  <c r="L11" i="14"/>
  <c r="K11" i="14"/>
  <c r="J11" i="14"/>
  <c r="I11" i="14"/>
  <c r="H11" i="14"/>
  <c r="F11" i="14"/>
  <c r="E11" i="14"/>
  <c r="D11" i="14"/>
  <c r="C11" i="14"/>
  <c r="B11" i="14"/>
  <c r="M10" i="14"/>
  <c r="L10" i="14"/>
  <c r="K10" i="14"/>
  <c r="J10" i="14"/>
  <c r="I10" i="14"/>
  <c r="H10" i="14"/>
  <c r="F10" i="14"/>
  <c r="E10" i="14"/>
  <c r="D10" i="14"/>
  <c r="C10" i="14"/>
  <c r="B10" i="14"/>
  <c r="M9" i="14"/>
  <c r="L9" i="14"/>
  <c r="K9" i="14"/>
  <c r="J9" i="14"/>
  <c r="I9" i="14"/>
  <c r="H9" i="14"/>
  <c r="F9" i="14"/>
  <c r="E9" i="14"/>
  <c r="D9" i="14"/>
  <c r="C9" i="14"/>
  <c r="B9" i="14"/>
  <c r="M8" i="14"/>
  <c r="L8" i="14"/>
  <c r="K8" i="14"/>
  <c r="J8" i="14"/>
  <c r="I8" i="14"/>
  <c r="H8" i="14"/>
  <c r="F8" i="14"/>
  <c r="E8" i="14"/>
  <c r="D8" i="14"/>
  <c r="C8" i="14"/>
  <c r="B8" i="14"/>
  <c r="M7" i="14"/>
  <c r="L7" i="14"/>
  <c r="K7" i="14"/>
  <c r="J7" i="14"/>
  <c r="I7" i="14"/>
  <c r="H7" i="14"/>
  <c r="F7" i="14"/>
  <c r="E7" i="14"/>
  <c r="D7" i="14"/>
  <c r="C7" i="14"/>
  <c r="B7" i="14"/>
  <c r="M6" i="14"/>
  <c r="L6" i="14"/>
  <c r="K6" i="14"/>
  <c r="J6" i="14"/>
  <c r="I6" i="14"/>
  <c r="H6" i="14"/>
  <c r="F6" i="14"/>
  <c r="E6" i="14"/>
  <c r="D6" i="14"/>
  <c r="C6" i="14"/>
  <c r="B6" i="14"/>
  <c r="M5" i="14"/>
  <c r="L5" i="14"/>
  <c r="K5" i="14"/>
  <c r="J5" i="14"/>
  <c r="I5" i="14"/>
  <c r="H5" i="14"/>
  <c r="F5" i="14"/>
  <c r="E5" i="14"/>
  <c r="D5" i="14"/>
  <c r="C5" i="14"/>
  <c r="B5" i="14"/>
  <c r="M4" i="14"/>
  <c r="L4" i="14"/>
  <c r="K4" i="14"/>
  <c r="J4" i="14"/>
  <c r="I4" i="14"/>
  <c r="H4" i="14"/>
  <c r="F4" i="14"/>
  <c r="E4" i="14"/>
  <c r="D4" i="14"/>
  <c r="C4" i="14"/>
  <c r="B4" i="14"/>
  <c r="M3" i="14"/>
  <c r="L3" i="14"/>
  <c r="K3" i="14"/>
  <c r="J3" i="14"/>
  <c r="I3" i="14"/>
  <c r="H3" i="14"/>
  <c r="F3" i="14"/>
  <c r="E3" i="14"/>
  <c r="D3" i="14"/>
  <c r="C3" i="14"/>
  <c r="B3" i="14"/>
  <c r="J183" i="13"/>
  <c r="G183" i="13"/>
  <c r="F183" i="13"/>
  <c r="E183" i="13"/>
  <c r="D183" i="13"/>
  <c r="C183" i="13"/>
  <c r="B183" i="13"/>
  <c r="K182" i="13"/>
  <c r="K181" i="13"/>
  <c r="K180" i="13"/>
  <c r="K179" i="13"/>
  <c r="K178" i="13"/>
  <c r="K177" i="13"/>
  <c r="K176" i="13"/>
  <c r="K175" i="13"/>
  <c r="K174" i="13"/>
  <c r="K173" i="13"/>
  <c r="K172" i="13"/>
  <c r="J168" i="13"/>
  <c r="G168" i="13"/>
  <c r="F168" i="13"/>
  <c r="E168" i="13"/>
  <c r="D168" i="13"/>
  <c r="C168" i="13"/>
  <c r="B168" i="13"/>
  <c r="K167" i="13"/>
  <c r="K166" i="13"/>
  <c r="K165" i="13"/>
  <c r="K164" i="13"/>
  <c r="K163" i="13"/>
  <c r="K162" i="13"/>
  <c r="K161" i="13"/>
  <c r="K160" i="13"/>
  <c r="K159" i="13"/>
  <c r="K158" i="13"/>
  <c r="K157" i="13"/>
  <c r="J153" i="13"/>
  <c r="G153" i="13"/>
  <c r="F153" i="13"/>
  <c r="E153" i="13"/>
  <c r="D153" i="13"/>
  <c r="C153" i="13"/>
  <c r="B153" i="13"/>
  <c r="K152" i="13"/>
  <c r="K151" i="13"/>
  <c r="K150" i="13"/>
  <c r="K149" i="13"/>
  <c r="K148" i="13"/>
  <c r="K147" i="13"/>
  <c r="K146" i="13"/>
  <c r="K145" i="13"/>
  <c r="K144" i="13"/>
  <c r="K143" i="13"/>
  <c r="J139" i="13"/>
  <c r="G139" i="13"/>
  <c r="F139" i="13"/>
  <c r="E139" i="13"/>
  <c r="D139" i="13"/>
  <c r="C139" i="13"/>
  <c r="B139" i="13"/>
  <c r="K138" i="13"/>
  <c r="K137" i="13"/>
  <c r="K136" i="13"/>
  <c r="K135" i="13"/>
  <c r="K134" i="13"/>
  <c r="K133" i="13"/>
  <c r="K132" i="13"/>
  <c r="K131" i="13"/>
  <c r="K130" i="13"/>
  <c r="K129" i="13"/>
  <c r="K128" i="13"/>
  <c r="J124" i="13"/>
  <c r="G124" i="13"/>
  <c r="F124" i="13"/>
  <c r="E124" i="13"/>
  <c r="D124" i="13"/>
  <c r="C124" i="13"/>
  <c r="B124" i="13"/>
  <c r="K123" i="13"/>
  <c r="K122" i="13"/>
  <c r="K121" i="13"/>
  <c r="K120" i="13"/>
  <c r="K119" i="13"/>
  <c r="K118" i="13"/>
  <c r="K117" i="13"/>
  <c r="K116" i="13"/>
  <c r="K115" i="13"/>
  <c r="K114" i="13"/>
  <c r="K113" i="13"/>
  <c r="J109" i="13"/>
  <c r="G109" i="13"/>
  <c r="F109" i="13"/>
  <c r="E109" i="13"/>
  <c r="D109" i="13"/>
  <c r="C109" i="13"/>
  <c r="B109" i="13"/>
  <c r="K108" i="13"/>
  <c r="K107" i="13"/>
  <c r="K106" i="13"/>
  <c r="K105" i="13"/>
  <c r="K104" i="13"/>
  <c r="K103" i="13"/>
  <c r="K102" i="13"/>
  <c r="K101" i="13"/>
  <c r="K100" i="13"/>
  <c r="K99" i="13"/>
  <c r="K98" i="13"/>
  <c r="J79" i="13"/>
  <c r="I79" i="13"/>
  <c r="H79" i="13"/>
  <c r="G79" i="13"/>
  <c r="F79" i="13"/>
  <c r="E79" i="13"/>
  <c r="D79" i="13"/>
  <c r="C79" i="13"/>
  <c r="B79" i="13"/>
  <c r="K78" i="13"/>
  <c r="K77" i="13"/>
  <c r="K76" i="13"/>
  <c r="K75" i="13"/>
  <c r="K74" i="13"/>
  <c r="K73" i="13"/>
  <c r="K72" i="13"/>
  <c r="K71" i="13"/>
  <c r="K70" i="13"/>
  <c r="K69" i="13"/>
  <c r="K68" i="13"/>
  <c r="K67" i="13"/>
  <c r="F63" i="13"/>
  <c r="E63" i="13"/>
  <c r="D63" i="13"/>
  <c r="C63" i="13"/>
  <c r="B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I46" i="13"/>
  <c r="I45" i="13"/>
  <c r="I44" i="13"/>
  <c r="I43" i="13"/>
  <c r="I42" i="13"/>
  <c r="I41" i="13"/>
  <c r="I40" i="13"/>
  <c r="I39" i="13"/>
  <c r="I38" i="13"/>
  <c r="I37" i="13"/>
  <c r="I36" i="13"/>
  <c r="H35" i="13"/>
  <c r="I35" i="13" s="1"/>
  <c r="E31" i="13"/>
  <c r="D31" i="13"/>
  <c r="C31" i="13"/>
  <c r="B31" i="13"/>
  <c r="G30" i="13"/>
  <c r="G29" i="13"/>
  <c r="G28" i="13"/>
  <c r="G27" i="13"/>
  <c r="G26" i="13"/>
  <c r="G25" i="13"/>
  <c r="G24" i="13"/>
  <c r="G23" i="13"/>
  <c r="F22" i="13"/>
  <c r="G22" i="13" s="1"/>
  <c r="G21" i="13"/>
  <c r="G20" i="13"/>
  <c r="F19" i="13"/>
  <c r="F31" i="13" s="1"/>
  <c r="H15" i="13"/>
  <c r="G15" i="13"/>
  <c r="F15" i="13"/>
  <c r="E15" i="13"/>
  <c r="D15" i="13"/>
  <c r="C15" i="13"/>
  <c r="B15" i="13"/>
  <c r="I14" i="13"/>
  <c r="I13" i="13"/>
  <c r="I12" i="13"/>
  <c r="I11" i="13"/>
  <c r="I10" i="13"/>
  <c r="I9" i="13"/>
  <c r="I8" i="13"/>
  <c r="I7" i="13"/>
  <c r="I6" i="13"/>
  <c r="I5" i="13"/>
  <c r="I4" i="13"/>
  <c r="I3" i="13"/>
  <c r="I15" i="14" l="1"/>
  <c r="B15" i="14"/>
  <c r="J15" i="14"/>
  <c r="G15" i="14"/>
  <c r="N14" i="14"/>
  <c r="N5" i="14"/>
  <c r="N7" i="14"/>
  <c r="N11" i="14"/>
  <c r="N13" i="14"/>
  <c r="C15" i="14"/>
  <c r="K15" i="14"/>
  <c r="L15" i="14"/>
  <c r="E15" i="14"/>
  <c r="M15" i="14"/>
  <c r="H15" i="14"/>
  <c r="N6" i="14"/>
  <c r="F15" i="14"/>
  <c r="N4" i="14"/>
  <c r="N9" i="14"/>
  <c r="N10" i="14"/>
  <c r="N12" i="14"/>
  <c r="D15" i="14"/>
  <c r="N8" i="14"/>
  <c r="N3" i="14"/>
  <c r="K124" i="13"/>
  <c r="I47" i="13"/>
  <c r="K139" i="13"/>
  <c r="K153" i="13"/>
  <c r="I15" i="13"/>
  <c r="K168" i="13"/>
  <c r="G63" i="13"/>
  <c r="K79" i="13"/>
  <c r="K109" i="13"/>
  <c r="K183" i="13"/>
  <c r="G19" i="13"/>
  <c r="G31" i="13" s="1"/>
  <c r="N15" i="14" l="1"/>
  <c r="M13" i="12"/>
  <c r="L13" i="12"/>
  <c r="J13" i="12"/>
  <c r="I13" i="12"/>
  <c r="H13" i="12"/>
  <c r="G13" i="12"/>
  <c r="E13" i="12"/>
  <c r="D13" i="12"/>
  <c r="C13" i="12"/>
  <c r="B13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M9" i="12"/>
  <c r="L9" i="12"/>
  <c r="K9" i="12"/>
  <c r="J9" i="12"/>
  <c r="I9" i="12"/>
  <c r="H9" i="12"/>
  <c r="G9" i="12"/>
  <c r="F9" i="12"/>
  <c r="E9" i="12"/>
  <c r="D9" i="12"/>
  <c r="C9" i="12"/>
  <c r="B9" i="12"/>
  <c r="M8" i="12"/>
  <c r="L8" i="12"/>
  <c r="K8" i="12"/>
  <c r="J8" i="12"/>
  <c r="I8" i="12"/>
  <c r="H8" i="12"/>
  <c r="G8" i="12"/>
  <c r="F8" i="12"/>
  <c r="E8" i="12"/>
  <c r="D8" i="12"/>
  <c r="C8" i="12"/>
  <c r="B8" i="12"/>
  <c r="M7" i="12"/>
  <c r="L7" i="12"/>
  <c r="K7" i="12"/>
  <c r="J7" i="12"/>
  <c r="I7" i="12"/>
  <c r="H7" i="12"/>
  <c r="G7" i="12"/>
  <c r="F7" i="12"/>
  <c r="E7" i="12"/>
  <c r="D7" i="12"/>
  <c r="C7" i="12"/>
  <c r="B7" i="12"/>
  <c r="M6" i="12"/>
  <c r="L6" i="12"/>
  <c r="K6" i="12"/>
  <c r="J6" i="12"/>
  <c r="I6" i="12"/>
  <c r="H6" i="12"/>
  <c r="G6" i="12"/>
  <c r="F6" i="12"/>
  <c r="E6" i="12"/>
  <c r="D6" i="12"/>
  <c r="C6" i="12"/>
  <c r="B6" i="12"/>
  <c r="M5" i="12"/>
  <c r="L5" i="12"/>
  <c r="K5" i="12"/>
  <c r="J5" i="12"/>
  <c r="I5" i="12"/>
  <c r="H5" i="12"/>
  <c r="G5" i="12"/>
  <c r="F5" i="12"/>
  <c r="E5" i="12"/>
  <c r="D5" i="12"/>
  <c r="C5" i="12"/>
  <c r="B5" i="12"/>
  <c r="M4" i="12"/>
  <c r="L4" i="12"/>
  <c r="K4" i="12"/>
  <c r="J4" i="12"/>
  <c r="I4" i="12"/>
  <c r="H4" i="12"/>
  <c r="G4" i="12"/>
  <c r="F4" i="12"/>
  <c r="E4" i="12"/>
  <c r="D4" i="12"/>
  <c r="C4" i="12"/>
  <c r="B4" i="12"/>
  <c r="M3" i="12"/>
  <c r="L3" i="12"/>
  <c r="K3" i="12"/>
  <c r="J3" i="12"/>
  <c r="I3" i="12"/>
  <c r="H3" i="12"/>
  <c r="G3" i="12"/>
  <c r="F3" i="12"/>
  <c r="F14" i="12" s="1"/>
  <c r="E3" i="12"/>
  <c r="E14" i="12" s="1"/>
  <c r="D3" i="12"/>
  <c r="C3" i="12"/>
  <c r="B3" i="12"/>
  <c r="J14" i="11"/>
  <c r="J177" i="11"/>
  <c r="I177" i="11"/>
  <c r="H177" i="11"/>
  <c r="G177" i="11"/>
  <c r="F177" i="11"/>
  <c r="E177" i="11"/>
  <c r="D177" i="11"/>
  <c r="C177" i="11"/>
  <c r="B177" i="11"/>
  <c r="K176" i="11"/>
  <c r="K175" i="11"/>
  <c r="K174" i="11"/>
  <c r="K173" i="11"/>
  <c r="K172" i="11"/>
  <c r="K171" i="11"/>
  <c r="K170" i="11"/>
  <c r="K169" i="11"/>
  <c r="K168" i="11"/>
  <c r="K167" i="11"/>
  <c r="K166" i="11"/>
  <c r="K177" i="11" s="1"/>
  <c r="J162" i="11"/>
  <c r="I162" i="11"/>
  <c r="H162" i="11"/>
  <c r="G162" i="11"/>
  <c r="F162" i="11"/>
  <c r="E162" i="11"/>
  <c r="D162" i="11"/>
  <c r="C162" i="11"/>
  <c r="B162" i="11"/>
  <c r="K161" i="11"/>
  <c r="K160" i="11"/>
  <c r="K159" i="11"/>
  <c r="K158" i="11"/>
  <c r="K157" i="11"/>
  <c r="K156" i="11"/>
  <c r="K155" i="11"/>
  <c r="K154" i="11"/>
  <c r="K153" i="11"/>
  <c r="K152" i="11"/>
  <c r="K151" i="11"/>
  <c r="J147" i="11"/>
  <c r="I147" i="11"/>
  <c r="H147" i="11"/>
  <c r="G147" i="11"/>
  <c r="F147" i="11"/>
  <c r="E147" i="11"/>
  <c r="D147" i="11"/>
  <c r="C147" i="11"/>
  <c r="B147" i="11"/>
  <c r="K146" i="11"/>
  <c r="K145" i="11"/>
  <c r="K144" i="11"/>
  <c r="K143" i="11"/>
  <c r="K142" i="11"/>
  <c r="K141" i="11"/>
  <c r="K140" i="11"/>
  <c r="K139" i="11"/>
  <c r="K138" i="11"/>
  <c r="K137" i="11"/>
  <c r="J133" i="11"/>
  <c r="I133" i="11"/>
  <c r="H133" i="11"/>
  <c r="G133" i="11"/>
  <c r="F133" i="11"/>
  <c r="E133" i="11"/>
  <c r="D133" i="11"/>
  <c r="C133" i="11"/>
  <c r="B133" i="11"/>
  <c r="K132" i="11"/>
  <c r="K131" i="11"/>
  <c r="K130" i="11"/>
  <c r="K129" i="11"/>
  <c r="K128" i="11"/>
  <c r="K127" i="11"/>
  <c r="K126" i="11"/>
  <c r="K125" i="11"/>
  <c r="K133" i="11" s="1"/>
  <c r="K124" i="11"/>
  <c r="K123" i="11"/>
  <c r="K122" i="11"/>
  <c r="J118" i="11"/>
  <c r="I118" i="11"/>
  <c r="H118" i="11"/>
  <c r="G118" i="11"/>
  <c r="F118" i="11"/>
  <c r="E118" i="11"/>
  <c r="D118" i="11"/>
  <c r="C118" i="11"/>
  <c r="B118" i="11"/>
  <c r="K117" i="11"/>
  <c r="K116" i="11"/>
  <c r="K115" i="11"/>
  <c r="K114" i="11"/>
  <c r="K113" i="11"/>
  <c r="K112" i="11"/>
  <c r="K111" i="11"/>
  <c r="K110" i="11"/>
  <c r="K109" i="11"/>
  <c r="K108" i="11"/>
  <c r="K107" i="11"/>
  <c r="J103" i="11"/>
  <c r="I103" i="11"/>
  <c r="H103" i="11"/>
  <c r="G103" i="11"/>
  <c r="F103" i="11"/>
  <c r="E103" i="11"/>
  <c r="D103" i="11"/>
  <c r="C103" i="11"/>
  <c r="B103" i="11"/>
  <c r="K102" i="11"/>
  <c r="K101" i="11"/>
  <c r="K100" i="11"/>
  <c r="K99" i="11"/>
  <c r="K98" i="11"/>
  <c r="K97" i="11"/>
  <c r="K96" i="11"/>
  <c r="K95" i="11"/>
  <c r="K94" i="11"/>
  <c r="K93" i="11"/>
  <c r="K92" i="11"/>
  <c r="J88" i="11"/>
  <c r="I88" i="11"/>
  <c r="H88" i="11"/>
  <c r="G88" i="11"/>
  <c r="F88" i="11"/>
  <c r="E88" i="11"/>
  <c r="D88" i="11"/>
  <c r="C88" i="11"/>
  <c r="B88" i="11"/>
  <c r="K87" i="11"/>
  <c r="K86" i="11"/>
  <c r="K85" i="11"/>
  <c r="K84" i="11"/>
  <c r="K83" i="11"/>
  <c r="K82" i="11"/>
  <c r="K81" i="11"/>
  <c r="K80" i="11"/>
  <c r="K79" i="11"/>
  <c r="K78" i="11"/>
  <c r="K77" i="11"/>
  <c r="I73" i="11"/>
  <c r="H73" i="11"/>
  <c r="G73" i="11"/>
  <c r="F73" i="11"/>
  <c r="E73" i="11"/>
  <c r="D73" i="11"/>
  <c r="C73" i="11"/>
  <c r="B73" i="11"/>
  <c r="K72" i="11"/>
  <c r="K71" i="11"/>
  <c r="K70" i="11"/>
  <c r="K69" i="11"/>
  <c r="K68" i="11"/>
  <c r="K67" i="11"/>
  <c r="K66" i="11"/>
  <c r="K65" i="11"/>
  <c r="K64" i="11"/>
  <c r="J63" i="11"/>
  <c r="J73" i="11" s="1"/>
  <c r="J59" i="11"/>
  <c r="I59" i="11"/>
  <c r="H59" i="11"/>
  <c r="G59" i="11"/>
  <c r="F59" i="11"/>
  <c r="E59" i="11"/>
  <c r="D59" i="11"/>
  <c r="C59" i="11"/>
  <c r="B59" i="11"/>
  <c r="K58" i="11"/>
  <c r="K57" i="11"/>
  <c r="K56" i="11"/>
  <c r="K54" i="11"/>
  <c r="K53" i="11"/>
  <c r="K52" i="11"/>
  <c r="K51" i="11"/>
  <c r="K50" i="11"/>
  <c r="K49" i="11"/>
  <c r="K48" i="11"/>
  <c r="K43" i="11"/>
  <c r="K42" i="11"/>
  <c r="K41" i="11"/>
  <c r="K40" i="11"/>
  <c r="K39" i="11"/>
  <c r="K38" i="11"/>
  <c r="K37" i="11"/>
  <c r="H36" i="11"/>
  <c r="K36" i="11" s="1"/>
  <c r="K35" i="11"/>
  <c r="K34" i="11"/>
  <c r="K33" i="11"/>
  <c r="I33" i="11"/>
  <c r="H29" i="11"/>
  <c r="G29" i="11"/>
  <c r="F29" i="11"/>
  <c r="E29" i="11"/>
  <c r="D29" i="11"/>
  <c r="C29" i="11"/>
  <c r="B29" i="11"/>
  <c r="K28" i="11"/>
  <c r="K27" i="11"/>
  <c r="K26" i="11"/>
  <c r="K25" i="11"/>
  <c r="K24" i="11"/>
  <c r="K23" i="11"/>
  <c r="K22" i="11"/>
  <c r="K21" i="11"/>
  <c r="I20" i="11"/>
  <c r="I29" i="11" s="1"/>
  <c r="K19" i="11"/>
  <c r="K18" i="11"/>
  <c r="I14" i="11"/>
  <c r="H14" i="11"/>
  <c r="F14" i="11"/>
  <c r="E14" i="11"/>
  <c r="D14" i="11"/>
  <c r="C14" i="11"/>
  <c r="B14" i="11"/>
  <c r="K13" i="11"/>
  <c r="K12" i="11"/>
  <c r="K11" i="11"/>
  <c r="K10" i="11"/>
  <c r="K9" i="11"/>
  <c r="K8" i="11"/>
  <c r="K7" i="11"/>
  <c r="K6" i="11"/>
  <c r="K5" i="11"/>
  <c r="K4" i="11"/>
  <c r="G3" i="11"/>
  <c r="G14" i="11" s="1"/>
  <c r="K44" i="11" l="1"/>
  <c r="K88" i="11"/>
  <c r="K147" i="11"/>
  <c r="K103" i="11"/>
  <c r="K162" i="11"/>
  <c r="K118" i="11"/>
  <c r="K59" i="11"/>
  <c r="M14" i="12"/>
  <c r="N4" i="12"/>
  <c r="N8" i="12"/>
  <c r="N9" i="12"/>
  <c r="N10" i="12"/>
  <c r="H14" i="12"/>
  <c r="D14" i="12"/>
  <c r="N12" i="12"/>
  <c r="I14" i="12"/>
  <c r="N6" i="12"/>
  <c r="B14" i="12"/>
  <c r="J14" i="12"/>
  <c r="N5" i="12"/>
  <c r="N7" i="12"/>
  <c r="N13" i="12"/>
  <c r="C14" i="12"/>
  <c r="K14" i="12"/>
  <c r="G14" i="12"/>
  <c r="L14" i="12"/>
  <c r="N11" i="12"/>
  <c r="N3" i="12"/>
  <c r="K63" i="11"/>
  <c r="K73" i="11" s="1"/>
  <c r="K20" i="11"/>
  <c r="K29" i="11" s="1"/>
  <c r="K3" i="11"/>
  <c r="K14" i="11" s="1"/>
  <c r="N14" i="12" l="1"/>
  <c r="B5" i="7" l="1"/>
  <c r="F25" i="4" l="1"/>
  <c r="F27" i="4"/>
  <c r="F29" i="4"/>
  <c r="F31" i="4"/>
  <c r="F32" i="4"/>
  <c r="F33" i="4"/>
  <c r="F34" i="4"/>
  <c r="F35" i="4"/>
  <c r="F15" i="4"/>
  <c r="E9" i="4"/>
  <c r="E11" i="4" s="1"/>
  <c r="G9" i="4"/>
  <c r="G11" i="4" s="1"/>
  <c r="D9" i="4"/>
  <c r="D11" i="4" s="1"/>
  <c r="G23" i="6" l="1"/>
  <c r="G28" i="4"/>
  <c r="G19" i="4" l="1"/>
  <c r="G46" i="4" s="1"/>
  <c r="G15" i="6" l="1"/>
  <c r="D23" i="4"/>
  <c r="F23" i="4" s="1"/>
  <c r="E24" i="4"/>
  <c r="D24" i="4"/>
  <c r="E21" i="4"/>
  <c r="D21" i="4"/>
  <c r="D28" i="4"/>
  <c r="F21" i="4" l="1"/>
  <c r="F24" i="4"/>
  <c r="E28" i="4"/>
  <c r="F28" i="4" s="1"/>
  <c r="F30" i="4"/>
  <c r="E21" i="5" l="1"/>
  <c r="D21" i="5"/>
  <c r="B21" i="5"/>
  <c r="D20" i="5" l="1"/>
  <c r="B20" i="5"/>
  <c r="E20" i="5"/>
  <c r="D19" i="5"/>
  <c r="B19" i="5"/>
  <c r="B19" i="7"/>
  <c r="C19" i="5"/>
  <c r="B18" i="7"/>
  <c r="D18" i="5"/>
  <c r="B18" i="5"/>
  <c r="E18" i="5"/>
  <c r="C18" i="5"/>
  <c r="E17" i="5"/>
  <c r="D17" i="5"/>
  <c r="B17" i="5"/>
  <c r="B6" i="7"/>
  <c r="E14" i="6" l="1"/>
  <c r="E14" i="5"/>
  <c r="D14" i="5"/>
  <c r="B14" i="5"/>
  <c r="G14" i="5" s="1"/>
  <c r="C14" i="5"/>
  <c r="D13" i="5"/>
  <c r="B13" i="5"/>
  <c r="C13" i="5"/>
  <c r="G13" i="5" s="1"/>
  <c r="E12" i="6"/>
  <c r="C12" i="6"/>
  <c r="D11" i="5"/>
  <c r="D12" i="5"/>
  <c r="B12" i="5"/>
  <c r="C12" i="5"/>
  <c r="E12" i="5"/>
  <c r="E11" i="5"/>
  <c r="B11" i="5"/>
  <c r="F11" i="6"/>
  <c r="F15" i="6" s="1"/>
  <c r="C11" i="5"/>
  <c r="D10" i="5"/>
  <c r="C10" i="5"/>
  <c r="B10" i="5"/>
  <c r="E10" i="5"/>
  <c r="F10" i="5"/>
  <c r="E9" i="6"/>
  <c r="E9" i="5"/>
  <c r="D9" i="5"/>
  <c r="C9" i="5"/>
  <c r="B9" i="5"/>
  <c r="B7" i="7"/>
  <c r="F5" i="6"/>
  <c r="E5" i="6"/>
  <c r="H7" i="6"/>
  <c r="H6" i="6"/>
  <c r="D5" i="6"/>
  <c r="C5" i="6"/>
  <c r="H4" i="6"/>
  <c r="H3" i="6"/>
  <c r="H2" i="6"/>
  <c r="G7" i="7"/>
  <c r="G6" i="7"/>
  <c r="C5" i="7"/>
  <c r="G5" i="7"/>
  <c r="G4" i="7"/>
  <c r="G3" i="7"/>
  <c r="B2" i="7"/>
  <c r="G2" i="7" s="1"/>
  <c r="F7" i="5"/>
  <c r="E7" i="5"/>
  <c r="D7" i="5"/>
  <c r="C7" i="5"/>
  <c r="B7" i="5"/>
  <c r="F6" i="5"/>
  <c r="E6" i="5"/>
  <c r="D6" i="5"/>
  <c r="C6" i="5"/>
  <c r="B6" i="5"/>
  <c r="F5" i="5"/>
  <c r="E5" i="5"/>
  <c r="D5" i="5"/>
  <c r="C5" i="5"/>
  <c r="B5" i="5"/>
  <c r="E4" i="5"/>
  <c r="D4" i="5"/>
  <c r="C4" i="5"/>
  <c r="B4" i="5"/>
  <c r="E3" i="5"/>
  <c r="D3" i="5"/>
  <c r="C3" i="5"/>
  <c r="B3" i="5"/>
  <c r="F2" i="5"/>
  <c r="E2" i="5"/>
  <c r="D2" i="5"/>
  <c r="C2" i="5"/>
  <c r="B2" i="5"/>
  <c r="G17" i="5"/>
  <c r="G18" i="5"/>
  <c r="G19" i="5"/>
  <c r="G20" i="5"/>
  <c r="G21" i="5"/>
  <c r="G2" i="5" l="1"/>
  <c r="G4" i="5"/>
  <c r="G11" i="5"/>
  <c r="G10" i="5"/>
  <c r="G12" i="5"/>
  <c r="G6" i="5"/>
  <c r="G3" i="5"/>
  <c r="G5" i="5"/>
  <c r="G7" i="5"/>
  <c r="H5" i="6"/>
  <c r="G9" i="5"/>
  <c r="D23" i="5" l="1"/>
  <c r="G17" i="7"/>
  <c r="B8" i="7"/>
  <c r="E8" i="5"/>
  <c r="D13" i="4" s="1"/>
  <c r="E15" i="6"/>
  <c r="G8" i="6"/>
  <c r="G16" i="6" s="1"/>
  <c r="D8" i="6"/>
  <c r="H10" i="6"/>
  <c r="H11" i="6"/>
  <c r="H13" i="6"/>
  <c r="H14" i="6"/>
  <c r="H17" i="6"/>
  <c r="H18" i="6"/>
  <c r="H19" i="6"/>
  <c r="H20" i="6"/>
  <c r="H21" i="6"/>
  <c r="H22" i="6"/>
  <c r="B8" i="6"/>
  <c r="C8" i="6"/>
  <c r="F23" i="7"/>
  <c r="E23" i="7"/>
  <c r="D23" i="7"/>
  <c r="C23" i="7"/>
  <c r="G22" i="7"/>
  <c r="G21" i="7"/>
  <c r="G20" i="7"/>
  <c r="G19" i="7"/>
  <c r="G18" i="7"/>
  <c r="F15" i="7"/>
  <c r="E15" i="7"/>
  <c r="D15" i="7"/>
  <c r="F8" i="7"/>
  <c r="E8" i="7"/>
  <c r="D8" i="7"/>
  <c r="C8" i="7"/>
  <c r="G8" i="7"/>
  <c r="F23" i="6"/>
  <c r="E23" i="6"/>
  <c r="D23" i="6"/>
  <c r="C23" i="6"/>
  <c r="B23" i="6"/>
  <c r="D15" i="6"/>
  <c r="B15" i="6"/>
  <c r="F8" i="6"/>
  <c r="F23" i="5"/>
  <c r="G14" i="4" s="1"/>
  <c r="F8" i="5"/>
  <c r="D14" i="4" s="1"/>
  <c r="E20" i="4"/>
  <c r="E19" i="4" s="1"/>
  <c r="E46" i="4" s="1"/>
  <c r="D20" i="4"/>
  <c r="G55" i="4" l="1"/>
  <c r="D19" i="4"/>
  <c r="D46" i="4" s="1"/>
  <c r="F20" i="4"/>
  <c r="F16" i="7"/>
  <c r="D16" i="7"/>
  <c r="C15" i="6"/>
  <c r="H15" i="6" s="1"/>
  <c r="H12" i="6"/>
  <c r="E16" i="7"/>
  <c r="H9" i="6"/>
  <c r="D16" i="6"/>
  <c r="C23" i="5"/>
  <c r="G23" i="7"/>
  <c r="E23" i="5"/>
  <c r="G13" i="4" s="1"/>
  <c r="B23" i="5"/>
  <c r="G12" i="4" s="1"/>
  <c r="H23" i="6"/>
  <c r="B23" i="7"/>
  <c r="D15" i="5"/>
  <c r="E15" i="5"/>
  <c r="B15" i="7"/>
  <c r="B16" i="7" s="1"/>
  <c r="C15" i="5"/>
  <c r="B16" i="6"/>
  <c r="B15" i="5"/>
  <c r="E12" i="4" s="1"/>
  <c r="F15" i="5"/>
  <c r="F16" i="6"/>
  <c r="C15" i="7"/>
  <c r="C16" i="7" s="1"/>
  <c r="D8" i="5"/>
  <c r="C8" i="5"/>
  <c r="B8" i="5"/>
  <c r="D12" i="4" s="1"/>
  <c r="E8" i="6"/>
  <c r="F19" i="4" l="1"/>
  <c r="G56" i="4"/>
  <c r="G57" i="4"/>
  <c r="G16" i="4"/>
  <c r="G17" i="4" s="1"/>
  <c r="E16" i="5"/>
  <c r="E13" i="4"/>
  <c r="F13" i="4" s="1"/>
  <c r="F16" i="5"/>
  <c r="E14" i="4"/>
  <c r="F14" i="4" s="1"/>
  <c r="F12" i="4"/>
  <c r="D16" i="4"/>
  <c r="D17" i="4" s="1"/>
  <c r="D47" i="4" s="1"/>
  <c r="F46" i="4"/>
  <c r="C16" i="6"/>
  <c r="G15" i="7"/>
  <c r="D16" i="5"/>
  <c r="H8" i="6"/>
  <c r="G23" i="5"/>
  <c r="C16" i="5"/>
  <c r="B16" i="5"/>
  <c r="G15" i="5"/>
  <c r="G16" i="7"/>
  <c r="E16" i="6"/>
  <c r="G8" i="5"/>
  <c r="G47" i="4" l="1"/>
  <c r="E16" i="4"/>
  <c r="E17" i="4" s="1"/>
  <c r="E47" i="4" s="1"/>
  <c r="F16" i="4"/>
  <c r="F17" i="4" s="1"/>
  <c r="F47" i="4" s="1"/>
  <c r="H16" i="6"/>
  <c r="G1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возврат ссуды
</t>
        </r>
      </text>
    </comment>
    <comment ref="E13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Холодильник на кпп
12792
</t>
        </r>
      </text>
    </comment>
    <comment ref="E19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возврат ссуды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6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Очистка туалета КПП
</t>
        </r>
      </text>
    </comment>
    <comment ref="F9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распил деревьев
</t>
        </r>
      </text>
    </comment>
    <comment ref="F11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Назаров подготовка к собранию-1000 руб мытье уличного туал-3000 руб
</t>
        </r>
      </text>
    </comment>
    <comment ref="E12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20000 выплата неретиной за работу с документами
</t>
        </r>
      </text>
    </comment>
    <comment ref="F13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демонтаж полицейских 2000, работы по замене х-ка на кпп-2000 руб
</t>
        </r>
      </text>
    </comment>
    <comment ref="E14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5000 премия колесова
</t>
        </r>
      </text>
    </comment>
    <comment ref="F14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ремонт ленты на шлагбауме
</t>
        </r>
      </text>
    </comment>
    <comment ref="G14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очистка трактором
</t>
        </r>
      </text>
    </comment>
    <comment ref="F18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наладка пультов
</t>
        </r>
      </text>
    </comment>
    <comment ref="F22" authorId="0" shapeId="0" xr:uid="{00000000-0006-0000-0300-00000A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Вывоз столбов 3000
Покос травы 5000
</t>
        </r>
      </text>
    </comment>
  </commentList>
</comments>
</file>

<file path=xl/sharedStrings.xml><?xml version="1.0" encoding="utf-8"?>
<sst xmlns="http://schemas.openxmlformats.org/spreadsheetml/2006/main" count="607" uniqueCount="174">
  <si>
    <t>статья</t>
  </si>
  <si>
    <t>ВСЕГО</t>
  </si>
  <si>
    <t>Услуги банка</t>
  </si>
  <si>
    <t>Вывоз мусора</t>
  </si>
  <si>
    <t>Уборка снега</t>
  </si>
  <si>
    <t>Оплата электроэнергии</t>
  </si>
  <si>
    <t>Юридические расходы</t>
  </si>
  <si>
    <t>ИТОГО</t>
  </si>
  <si>
    <t>Тревожная кнопка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</si>
  <si>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</si>
  <si>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</si>
  <si>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</si>
  <si>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</si>
  <si>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</si>
  <si>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</si>
  <si>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</si>
  <si>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</si>
  <si>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</si>
  <si>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</si>
  <si>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</si>
  <si>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</si>
  <si>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Охрана з/пл</t>
  </si>
  <si>
    <t>Бухгалтерские услуги + ИП</t>
  </si>
  <si>
    <t>Хозяйственные расходы (возврат)</t>
  </si>
  <si>
    <t>Вознаграждение председатель</t>
  </si>
  <si>
    <t>Бухгалтерские услуги+ИП</t>
  </si>
  <si>
    <t>Февраль 2023</t>
  </si>
  <si>
    <t>Март 2023</t>
  </si>
  <si>
    <t>Апрель 2023</t>
  </si>
  <si>
    <t>Май 2023</t>
  </si>
  <si>
    <t>Июнь 2023</t>
  </si>
  <si>
    <t>Июль 2023</t>
  </si>
  <si>
    <t>Декабрь 2023</t>
  </si>
  <si>
    <t>Ноябрь 2023</t>
  </si>
  <si>
    <t>Октябрь 2023</t>
  </si>
  <si>
    <t>Сентябрь 2023</t>
  </si>
  <si>
    <t>Август 2023</t>
  </si>
  <si>
    <t>Банк 2023 год</t>
  </si>
  <si>
    <t>Год 2023 Банк</t>
  </si>
  <si>
    <t>Налоги</t>
  </si>
  <si>
    <t>"УТВЕРЖДЕНО"</t>
  </si>
  <si>
    <t xml:space="preserve"> </t>
  </si>
  <si>
    <t>А</t>
  </si>
  <si>
    <t>Транспорт</t>
  </si>
  <si>
    <t>Б</t>
  </si>
  <si>
    <t>Председатель — гл.бухгалтер (12 мес.)</t>
  </si>
  <si>
    <t>Управляющая хозяйственной деятельностью (20.000 х 12 мес.)</t>
  </si>
  <si>
    <t>Вахтеры 365 смен х 2000 руб х 3 чел. )</t>
  </si>
  <si>
    <t>Электрик (10.000 х 12  мес.)</t>
  </si>
  <si>
    <t>Налоги на ЗП</t>
  </si>
  <si>
    <t>Банковское обслуживание</t>
  </si>
  <si>
    <t>Услуги по договорам:</t>
  </si>
  <si>
    <t>Юридические услуги (судебные иски, участие в суде, оформл.документов, консультации)</t>
  </si>
  <si>
    <t>Бухгалтерские, инкассационные и пр. услуги</t>
  </si>
  <si>
    <t>Услуги по обслужив. Газового хозяйства</t>
  </si>
  <si>
    <t xml:space="preserve">Уборка снега  </t>
  </si>
  <si>
    <t>Подтверждение лицензии бухг.комп.программы 1С 8.3</t>
  </si>
  <si>
    <t>Охрана и то средств сигнализации</t>
  </si>
  <si>
    <t>Хозяйственные расходы</t>
  </si>
  <si>
    <t>Всего расходы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</si>
  <si>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</si>
  <si>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</si>
  <si>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</si>
  <si>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</si>
  <si>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</si>
  <si>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</si>
  <si>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</si>
  <si>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</si>
  <si>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</si>
  <si>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</si>
  <si>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</si>
  <si>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</si>
  <si>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</si>
  <si>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Итого за 1 полугодие</t>
  </si>
  <si>
    <t>Итого за 2 полугодие</t>
  </si>
  <si>
    <t>Всего год</t>
  </si>
  <si>
    <t xml:space="preserve">Итого 1 полугодие </t>
  </si>
  <si>
    <t>Чл.взносы</t>
  </si>
  <si>
    <t>улич</t>
  </si>
  <si>
    <t>транс</t>
  </si>
  <si>
    <t>Охрана</t>
  </si>
  <si>
    <t>Хоз нужды</t>
  </si>
  <si>
    <t>З/пл ведомость</t>
  </si>
  <si>
    <t>Моб. Связь</t>
  </si>
  <si>
    <t xml:space="preserve">Выплаты </t>
  </si>
  <si>
    <t>Юридич.услуги</t>
  </si>
  <si>
    <t>Хоз. Нужд</t>
  </si>
  <si>
    <t>Снег</t>
  </si>
  <si>
    <t>целев/суд</t>
  </si>
  <si>
    <t>Месяц</t>
  </si>
  <si>
    <t>январь: электротовары 370, гранитная крошка 11000, столярный клей 740</t>
  </si>
  <si>
    <t>январь ремонт стульев КПП ЧЕРИКОВ</t>
  </si>
  <si>
    <t>Назаров  возн</t>
  </si>
  <si>
    <t>лукашевич 3000</t>
  </si>
  <si>
    <t>10000+контейнер +3000+каток 3000</t>
  </si>
  <si>
    <t>разгрузка гранит крошки-1000</t>
  </si>
  <si>
    <t>март: папки для отчета 778</t>
  </si>
  <si>
    <t>10000+контейнер +3000+каток 1500+ опилка деревьев 3000</t>
  </si>
  <si>
    <t>май комплект для садов. Техники 2000</t>
  </si>
  <si>
    <t>июнь бумага для принтера312,54 кртрид для триммера, подвесной замок 1640</t>
  </si>
  <si>
    <t>эл.эн</t>
  </si>
  <si>
    <t>август бензин на КПП 1000 руб. картридж  HP-1000? Ремонт мотоб-2000</t>
  </si>
  <si>
    <t>Прочее</t>
  </si>
  <si>
    <t>декабрь лампы для столбов 3100 руб</t>
  </si>
  <si>
    <t>февраль24пульты для шлаг.2200 руб;почтовые расходы2192,24</t>
  </si>
  <si>
    <t>март 24 электромонтажные работы925 руб, канц.расходы1669 руб.10 ламп 2940;</t>
  </si>
  <si>
    <t>май хознужды-6000</t>
  </si>
  <si>
    <t>Январь-июнь 2023г.</t>
  </si>
  <si>
    <t>Июль-декабрь 2023г.</t>
  </si>
  <si>
    <t>Итого за 2023 год</t>
  </si>
  <si>
    <t>Членские взносы  ( из расчета 300 руб за сотку)  - 107 участков</t>
  </si>
  <si>
    <t>Целевые взносы кадастр</t>
  </si>
  <si>
    <t>Оплата за уборку КПП</t>
  </si>
  <si>
    <t>Остаток денежных средств на 01 число отчетного периода</t>
  </si>
  <si>
    <t>сентябрь подготовка к собранию-2351,57; фонарь для КПП,бумага для трибун, бензин для садов техники 1033,05; средство для уборки 390</t>
  </si>
  <si>
    <t>Остаток в кассе на 01 число года</t>
  </si>
  <si>
    <t>апрель канцелярия595 ленты для фонаря-4290</t>
  </si>
  <si>
    <t>Бухгалтерская программа</t>
  </si>
  <si>
    <t xml:space="preserve">Сумма меньше чем в выписке на 19213 руб. 06.09.23 были переведены с возвращены в тот же день. </t>
  </si>
  <si>
    <t>Январь 2024 год</t>
  </si>
  <si>
    <t>Обслуживание газопровода</t>
  </si>
  <si>
    <t>Февраль 2024</t>
  </si>
  <si>
    <t>Март 2024</t>
  </si>
  <si>
    <t>Апрель 2024</t>
  </si>
  <si>
    <t>Май 2024</t>
  </si>
  <si>
    <t>Июнь 2024</t>
  </si>
  <si>
    <t>Август 2024</t>
  </si>
  <si>
    <t>Сентябрь 2024</t>
  </si>
  <si>
    <t>Октябрь 2024</t>
  </si>
  <si>
    <t>Ноябрь 2024</t>
  </si>
  <si>
    <t>Декабрь 2024</t>
  </si>
  <si>
    <t>Год 2024 Банк</t>
  </si>
  <si>
    <t>Земельный налог</t>
  </si>
  <si>
    <t>ноябрь штемпельная краска 200</t>
  </si>
  <si>
    <t>июля картридж для принт.-618, лукашев 02.07-4500, картридж hp-1096, бензин для техники-1300</t>
  </si>
  <si>
    <t>Год 2023</t>
  </si>
  <si>
    <t>Оплата Мосэнерго со счета в банке за ноябрь+декабрь 2022 г.</t>
  </si>
  <si>
    <t>Оплата Мосэнерго со счета в банке</t>
  </si>
  <si>
    <t>Поступила от  землевладельцев  оплата за эл.энергию.</t>
  </si>
  <si>
    <t>Поступили целевые взносы на оплату: КПП, ворот, шлагбаума, уличного освещения и потери в сетях из расчета 250 руб в месяц с каждого участка.</t>
  </si>
  <si>
    <t xml:space="preserve">Доплачено за эл.энергию из членских взносов </t>
  </si>
  <si>
    <t>1.1</t>
  </si>
  <si>
    <t>1.2</t>
  </si>
  <si>
    <t>1</t>
  </si>
  <si>
    <t>Возврат займа</t>
  </si>
  <si>
    <t>Возврат от контрагента</t>
  </si>
  <si>
    <t>Расходы на оплату труда:</t>
  </si>
  <si>
    <t>Итого поступило</t>
  </si>
  <si>
    <t>Всего оплачено по счетам</t>
  </si>
  <si>
    <t>Итого поступило на оплату эл.энергии</t>
  </si>
  <si>
    <t>Остаток на банковском счете на 01 число отчетного периода</t>
  </si>
  <si>
    <t>июнь 24 бумага для принтера 332,49 руб, хоз товары 400</t>
  </si>
  <si>
    <t>Кассир з/пл</t>
  </si>
  <si>
    <t>Отчет по результатм финансовой деятельности 2023 г и 1-е п/годие 2024 г.</t>
  </si>
  <si>
    <t>План на 2023 г.</t>
  </si>
  <si>
    <t>Кассир (10.000 х 12 мес.)</t>
  </si>
  <si>
    <t>60.000</t>
  </si>
  <si>
    <t>Годовая премия (Неретина С.П.)</t>
  </si>
  <si>
    <t>Годовая премия (Колесова,Барабан)</t>
  </si>
  <si>
    <t>Покос травы, каток, утрамбовка 8-ми куб. контейнеров, обрезка деревьев</t>
  </si>
  <si>
    <t>Вознаграждение Черикову В. за ремонт стульев на КПП</t>
  </si>
  <si>
    <t>1 п/годие 2023</t>
  </si>
  <si>
    <t>2 п/годие 2023</t>
  </si>
  <si>
    <t>1 п/годие 2024г</t>
  </si>
  <si>
    <t xml:space="preserve">                  РАСХОД</t>
  </si>
  <si>
    <t>ДОХОД</t>
  </si>
  <si>
    <t>Хоз.нужды (канц.товары, лампы, бензин, чистка туалета на КПП, холодильник для КПП, детские новогодние подарки (34.300), триммер, гранитная крошка, малоценка и пр.)</t>
  </si>
  <si>
    <t>Всего денежных средста с учетом ост.на счете</t>
  </si>
  <si>
    <t>Всего остаток денежных средств на счете</t>
  </si>
  <si>
    <t xml:space="preserve">Оплата моб.связи </t>
  </si>
  <si>
    <t>План</t>
  </si>
  <si>
    <t>Поддержка сайта и домена</t>
  </si>
  <si>
    <t>Правлением ДСПК "Шишкино"</t>
  </si>
  <si>
    <t xml:space="preserve">                                                                      Протокол № 8 от "12" октября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</si>
</sst>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b/>
      <sz val="12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i/>
      <sz val="12"/>
      <color rgb="FF000000"/>
      <name val="Arial"/>
      <family val="2"/>
      <charset val="204"/>
    </font>
    <font>
      <sz val="14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i/>
      <sz val="14"/>
      <color rgb="FF000000"/>
      <name val="Arial"/>
      <family val="2"/>
      <charset val="204"/>
    </font>
    <font>
      <b/>
      <sz val="1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B4C6E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8EA9DB"/>
      </patternFill>
    </fill>
    <fill>
      <patternFill patternType="solid">
        <fgColor rgb="FFFFC000"/>
        <bgColor rgb="FFF4B08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B4C7D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rgb="FF000000"/>
      </right>
      <top style="thick">
        <color indexed="64"/>
      </top>
      <bottom/>
      <diagonal/>
    </border>
    <border>
      <left style="medium">
        <color auto="1"/>
      </left>
      <right style="medium">
        <color auto="1"/>
      </right>
      <top style="thick">
        <color indexed="64"/>
      </top>
      <bottom/>
      <diagonal/>
    </border>
    <border>
      <left/>
      <right style="medium">
        <color auto="1"/>
      </right>
      <top style="thick">
        <color indexed="64"/>
      </top>
      <bottom/>
      <diagonal/>
    </border>
    <border>
      <left style="medium">
        <color indexed="64"/>
      </left>
      <right style="medium">
        <color rgb="FF000000"/>
      </right>
      <top style="thick">
        <color indexed="64"/>
      </top>
      <bottom/>
      <diagonal/>
    </border>
    <border>
      <left style="medium">
        <color rgb="FF000000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rgb="FF000000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rgb="FF000000"/>
      </right>
      <top/>
      <bottom style="thick">
        <color indexed="64"/>
      </bottom>
      <diagonal/>
    </border>
    <border>
      <left style="medium">
        <color rgb="FF000000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15" xfId="0" applyBorder="1"/>
    <xf numFmtId="0" fontId="0" fillId="0" borderId="16" xfId="0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3" xfId="0" applyFont="1" applyFill="1" applyBorder="1"/>
    <xf numFmtId="0" fontId="1" fillId="2" borderId="16" xfId="0" applyFont="1" applyFill="1" applyBorder="1"/>
    <xf numFmtId="0" fontId="1" fillId="3" borderId="15" xfId="0" applyFont="1" applyFill="1" applyBorder="1"/>
    <xf numFmtId="0" fontId="1" fillId="3" borderId="3" xfId="0" applyFont="1" applyFill="1" applyBorder="1"/>
    <xf numFmtId="0" fontId="1" fillId="3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6" fillId="0" borderId="0" xfId="0" applyFont="1"/>
    <xf numFmtId="2" fontId="2" fillId="0" borderId="3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7" xfId="0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2" fontId="9" fillId="0" borderId="8" xfId="0" applyNumberFormat="1" applyFont="1" applyBorder="1" applyAlignment="1">
      <alignment horizontal="center" vertical="top" wrapText="1"/>
    </xf>
    <xf numFmtId="2" fontId="10" fillId="0" borderId="8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top" wrapText="1"/>
    </xf>
    <xf numFmtId="2" fontId="10" fillId="0" borderId="3" xfId="0" applyNumberFormat="1" applyFont="1" applyBorder="1" applyAlignment="1">
      <alignment horizontal="center" vertical="top" wrapText="1"/>
    </xf>
    <xf numFmtId="2" fontId="8" fillId="0" borderId="0" xfId="0" applyNumberFormat="1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2" fontId="9" fillId="0" borderId="22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/>
    </xf>
    <xf numFmtId="2" fontId="9" fillId="0" borderId="1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0" xfId="0" applyFont="1"/>
    <xf numFmtId="1" fontId="1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8" fillId="5" borderId="0" xfId="0" applyNumberFormat="1" applyFont="1" applyFill="1" applyAlignment="1">
      <alignment horizontal="center"/>
    </xf>
    <xf numFmtId="1" fontId="8" fillId="0" borderId="0" xfId="0" applyNumberFormat="1" applyFont="1"/>
    <xf numFmtId="0" fontId="8" fillId="0" borderId="0" xfId="0" applyFont="1" applyAlignment="1">
      <alignment wrapText="1"/>
    </xf>
    <xf numFmtId="1" fontId="8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1" fontId="12" fillId="0" borderId="0" xfId="0" applyNumberFormat="1" applyFont="1" applyAlignment="1">
      <alignment horizontal="center" wrapText="1"/>
    </xf>
    <xf numFmtId="1" fontId="8" fillId="0" borderId="24" xfId="0" applyNumberFormat="1" applyFont="1" applyBorder="1" applyAlignment="1">
      <alignment horizontal="center" wrapText="1"/>
    </xf>
    <xf numFmtId="1" fontId="8" fillId="5" borderId="24" xfId="0" applyNumberFormat="1" applyFont="1" applyFill="1" applyBorder="1" applyAlignment="1">
      <alignment horizontal="center" wrapText="1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4" xfId="0" applyFont="1" applyBorder="1" applyAlignment="1">
      <alignment wrapText="1"/>
    </xf>
    <xf numFmtId="0" fontId="12" fillId="0" borderId="24" xfId="0" applyFont="1" applyBorder="1" applyAlignment="1">
      <alignment horizontal="center"/>
    </xf>
    <xf numFmtId="0" fontId="12" fillId="0" borderId="24" xfId="0" applyFont="1" applyBorder="1"/>
    <xf numFmtId="0" fontId="12" fillId="0" borderId="24" xfId="0" applyFont="1" applyBorder="1" applyAlignment="1">
      <alignment wrapText="1"/>
    </xf>
    <xf numFmtId="0" fontId="8" fillId="0" borderId="31" xfId="0" applyFont="1" applyBorder="1" applyAlignment="1">
      <alignment horizontal="center"/>
    </xf>
    <xf numFmtId="0" fontId="8" fillId="0" borderId="54" xfId="0" applyFont="1" applyBorder="1" applyAlignment="1">
      <alignment wrapText="1"/>
    </xf>
    <xf numFmtId="0" fontId="8" fillId="0" borderId="55" xfId="0" applyFont="1" applyBorder="1" applyAlignment="1">
      <alignment wrapText="1"/>
    </xf>
    <xf numFmtId="0" fontId="11" fillId="0" borderId="48" xfId="0" applyFont="1" applyBorder="1" applyAlignment="1">
      <alignment wrapText="1"/>
    </xf>
    <xf numFmtId="0" fontId="8" fillId="0" borderId="56" xfId="0" applyFont="1" applyBorder="1" applyAlignment="1">
      <alignment wrapText="1"/>
    </xf>
    <xf numFmtId="0" fontId="8" fillId="0" borderId="53" xfId="0" applyFont="1" applyBorder="1" applyAlignment="1">
      <alignment wrapText="1"/>
    </xf>
    <xf numFmtId="1" fontId="11" fillId="11" borderId="24" xfId="0" applyNumberFormat="1" applyFont="1" applyFill="1" applyBorder="1" applyAlignment="1">
      <alignment horizontal="center" wrapText="1"/>
    </xf>
    <xf numFmtId="3" fontId="8" fillId="0" borderId="26" xfId="0" applyNumberFormat="1" applyFont="1" applyBorder="1" applyAlignment="1">
      <alignment horizontal="center"/>
    </xf>
    <xf numFmtId="3" fontId="8" fillId="0" borderId="32" xfId="0" applyNumberFormat="1" applyFont="1" applyBorder="1" applyAlignment="1">
      <alignment horizontal="center"/>
    </xf>
    <xf numFmtId="3" fontId="8" fillId="10" borderId="29" xfId="0" applyNumberFormat="1" applyFont="1" applyFill="1" applyBorder="1" applyAlignment="1">
      <alignment horizontal="center"/>
    </xf>
    <xf numFmtId="3" fontId="8" fillId="5" borderId="35" xfId="0" applyNumberFormat="1" applyFont="1" applyFill="1" applyBorder="1" applyAlignment="1">
      <alignment horizontal="center"/>
    </xf>
    <xf numFmtId="3" fontId="8" fillId="0" borderId="37" xfId="0" applyNumberFormat="1" applyFont="1" applyBorder="1" applyAlignment="1">
      <alignment horizontal="center"/>
    </xf>
    <xf numFmtId="3" fontId="8" fillId="0" borderId="38" xfId="0" applyNumberFormat="1" applyFont="1" applyBorder="1" applyAlignment="1">
      <alignment horizontal="center"/>
    </xf>
    <xf numFmtId="3" fontId="8" fillId="10" borderId="39" xfId="0" applyNumberFormat="1" applyFont="1" applyFill="1" applyBorder="1" applyAlignment="1">
      <alignment horizontal="center"/>
    </xf>
    <xf numFmtId="3" fontId="8" fillId="5" borderId="40" xfId="0" applyNumberFormat="1" applyFont="1" applyFill="1" applyBorder="1" applyAlignment="1">
      <alignment horizontal="center"/>
    </xf>
    <xf numFmtId="3" fontId="12" fillId="0" borderId="24" xfId="0" applyNumberFormat="1" applyFont="1" applyBorder="1" applyAlignment="1">
      <alignment horizontal="center" wrapText="1"/>
    </xf>
    <xf numFmtId="3" fontId="11" fillId="0" borderId="57" xfId="0" applyNumberFormat="1" applyFont="1" applyBorder="1" applyAlignment="1">
      <alignment horizontal="center"/>
    </xf>
    <xf numFmtId="3" fontId="11" fillId="0" borderId="46" xfId="0" applyNumberFormat="1" applyFont="1" applyBorder="1" applyAlignment="1">
      <alignment horizontal="center"/>
    </xf>
    <xf numFmtId="3" fontId="11" fillId="10" borderId="24" xfId="0" applyNumberFormat="1" applyFont="1" applyFill="1" applyBorder="1" applyAlignment="1">
      <alignment horizontal="center"/>
    </xf>
    <xf numFmtId="3" fontId="11" fillId="5" borderId="47" xfId="0" applyNumberFormat="1" applyFont="1" applyFill="1" applyBorder="1" applyAlignment="1">
      <alignment horizontal="center"/>
    </xf>
    <xf numFmtId="3" fontId="8" fillId="0" borderId="41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3" fontId="8" fillId="11" borderId="43" xfId="0" applyNumberFormat="1" applyFont="1" applyFill="1" applyBorder="1" applyAlignment="1">
      <alignment horizontal="center"/>
    </xf>
    <xf numFmtId="3" fontId="8" fillId="5" borderId="44" xfId="0" applyNumberFormat="1" applyFont="1" applyFill="1" applyBorder="1" applyAlignment="1">
      <alignment horizontal="center"/>
    </xf>
    <xf numFmtId="3" fontId="8" fillId="0" borderId="27" xfId="0" applyNumberFormat="1" applyFont="1" applyBorder="1" applyAlignment="1">
      <alignment horizontal="center"/>
    </xf>
    <xf numFmtId="3" fontId="8" fillId="0" borderId="33" xfId="0" applyNumberFormat="1" applyFont="1" applyBorder="1" applyAlignment="1">
      <alignment horizontal="center"/>
    </xf>
    <xf numFmtId="3" fontId="8" fillId="11" borderId="30" xfId="0" applyNumberFormat="1" applyFont="1" applyFill="1" applyBorder="1" applyAlignment="1">
      <alignment horizontal="center"/>
    </xf>
    <xf numFmtId="3" fontId="8" fillId="5" borderId="36" xfId="0" applyNumberFormat="1" applyFont="1" applyFill="1" applyBorder="1" applyAlignment="1">
      <alignment horizontal="center"/>
    </xf>
    <xf numFmtId="3" fontId="8" fillId="11" borderId="39" xfId="0" applyNumberFormat="1" applyFont="1" applyFill="1" applyBorder="1" applyAlignment="1">
      <alignment horizontal="center"/>
    </xf>
    <xf numFmtId="3" fontId="12" fillId="0" borderId="24" xfId="0" applyNumberFormat="1" applyFont="1" applyBorder="1" applyAlignment="1">
      <alignment horizontal="center"/>
    </xf>
    <xf numFmtId="3" fontId="12" fillId="11" borderId="24" xfId="0" applyNumberFormat="1" applyFont="1" applyFill="1" applyBorder="1" applyAlignment="1">
      <alignment horizontal="center"/>
    </xf>
    <xf numFmtId="3" fontId="12" fillId="5" borderId="24" xfId="0" applyNumberFormat="1" applyFont="1" applyFill="1" applyBorder="1" applyAlignment="1">
      <alignment horizontal="center"/>
    </xf>
    <xf numFmtId="3" fontId="11" fillId="0" borderId="24" xfId="0" applyNumberFormat="1" applyFont="1" applyBorder="1" applyAlignment="1">
      <alignment horizontal="center"/>
    </xf>
    <xf numFmtId="3" fontId="11" fillId="0" borderId="48" xfId="0" applyNumberFormat="1" applyFont="1" applyBorder="1" applyAlignment="1">
      <alignment horizontal="center"/>
    </xf>
    <xf numFmtId="3" fontId="12" fillId="0" borderId="48" xfId="0" applyNumberFormat="1" applyFont="1" applyBorder="1" applyAlignment="1">
      <alignment horizontal="center"/>
    </xf>
    <xf numFmtId="3" fontId="12" fillId="5" borderId="47" xfId="0" applyNumberFormat="1" applyFont="1" applyFill="1" applyBorder="1" applyAlignment="1">
      <alignment horizontal="center"/>
    </xf>
    <xf numFmtId="3" fontId="12" fillId="5" borderId="24" xfId="0" applyNumberFormat="1" applyFont="1" applyFill="1" applyBorder="1" applyAlignment="1">
      <alignment horizontal="center" wrapText="1"/>
    </xf>
    <xf numFmtId="3" fontId="12" fillId="10" borderId="24" xfId="0" applyNumberFormat="1" applyFont="1" applyFill="1" applyBorder="1" applyAlignment="1">
      <alignment horizontal="center" wrapText="1"/>
    </xf>
    <xf numFmtId="3" fontId="11" fillId="0" borderId="0" xfId="0" applyNumberFormat="1" applyFont="1"/>
    <xf numFmtId="3" fontId="12" fillId="0" borderId="49" xfId="0" applyNumberFormat="1" applyFont="1" applyBorder="1" applyAlignment="1">
      <alignment horizontal="center"/>
    </xf>
    <xf numFmtId="0" fontId="12" fillId="0" borderId="49" xfId="0" applyFont="1" applyBorder="1"/>
    <xf numFmtId="0" fontId="12" fillId="0" borderId="25" xfId="0" applyFont="1" applyBorder="1" applyAlignment="1">
      <alignment wrapText="1"/>
    </xf>
    <xf numFmtId="3" fontId="12" fillId="0" borderId="52" xfId="0" applyNumberFormat="1" applyFont="1" applyBorder="1" applyAlignment="1">
      <alignment horizontal="center"/>
    </xf>
    <xf numFmtId="3" fontId="12" fillId="11" borderId="49" xfId="0" applyNumberFormat="1" applyFont="1" applyFill="1" applyBorder="1" applyAlignment="1">
      <alignment horizontal="center"/>
    </xf>
    <xf numFmtId="3" fontId="12" fillId="5" borderId="49" xfId="0" applyNumberFormat="1" applyFont="1" applyFill="1" applyBorder="1" applyAlignment="1">
      <alignment horizontal="center"/>
    </xf>
    <xf numFmtId="0" fontId="12" fillId="0" borderId="62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3" fontId="18" fillId="0" borderId="27" xfId="0" applyNumberFormat="1" applyFont="1" applyBorder="1" applyAlignment="1">
      <alignment horizontal="center"/>
    </xf>
    <xf numFmtId="3" fontId="18" fillId="0" borderId="33" xfId="0" applyNumberFormat="1" applyFont="1" applyBorder="1" applyAlignment="1">
      <alignment horizontal="center"/>
    </xf>
    <xf numFmtId="3" fontId="18" fillId="11" borderId="30" xfId="0" applyNumberFormat="1" applyFont="1" applyFill="1" applyBorder="1" applyAlignment="1">
      <alignment horizontal="center"/>
    </xf>
    <xf numFmtId="3" fontId="19" fillId="0" borderId="33" xfId="0" applyNumberFormat="1" applyFont="1" applyBorder="1" applyAlignment="1">
      <alignment horizontal="center"/>
    </xf>
    <xf numFmtId="3" fontId="19" fillId="0" borderId="27" xfId="0" applyNumberFormat="1" applyFont="1" applyBorder="1" applyAlignment="1">
      <alignment horizontal="center"/>
    </xf>
    <xf numFmtId="3" fontId="19" fillId="0" borderId="28" xfId="0" applyNumberFormat="1" applyFont="1" applyBorder="1" applyAlignment="1">
      <alignment horizontal="center"/>
    </xf>
    <xf numFmtId="3" fontId="18" fillId="0" borderId="34" xfId="0" applyNumberFormat="1" applyFont="1" applyBorder="1" applyAlignment="1">
      <alignment horizontal="center"/>
    </xf>
    <xf numFmtId="3" fontId="18" fillId="11" borderId="31" xfId="0" applyNumberFormat="1" applyFont="1" applyFill="1" applyBorder="1" applyAlignment="1">
      <alignment horizontal="center"/>
    </xf>
    <xf numFmtId="0" fontId="20" fillId="0" borderId="58" xfId="0" applyFont="1" applyBorder="1" applyAlignment="1">
      <alignment wrapText="1"/>
    </xf>
    <xf numFmtId="3" fontId="20" fillId="0" borderId="41" xfId="0" applyNumberFormat="1" applyFont="1" applyBorder="1" applyAlignment="1">
      <alignment horizontal="center"/>
    </xf>
    <xf numFmtId="3" fontId="20" fillId="0" borderId="42" xfId="0" applyNumberFormat="1" applyFont="1" applyBorder="1" applyAlignment="1">
      <alignment horizontal="center"/>
    </xf>
    <xf numFmtId="3" fontId="19" fillId="11" borderId="43" xfId="0" applyNumberFormat="1" applyFont="1" applyFill="1" applyBorder="1" applyAlignment="1">
      <alignment horizontal="center"/>
    </xf>
    <xf numFmtId="3" fontId="20" fillId="5" borderId="29" xfId="0" applyNumberFormat="1" applyFont="1" applyFill="1" applyBorder="1" applyAlignment="1">
      <alignment horizontal="center"/>
    </xf>
    <xf numFmtId="0" fontId="20" fillId="0" borderId="50" xfId="0" applyFont="1" applyBorder="1" applyAlignment="1">
      <alignment wrapText="1"/>
    </xf>
    <xf numFmtId="3" fontId="20" fillId="0" borderId="27" xfId="0" applyNumberFormat="1" applyFont="1" applyBorder="1" applyAlignment="1">
      <alignment horizontal="center"/>
    </xf>
    <xf numFmtId="3" fontId="20" fillId="0" borderId="33" xfId="0" applyNumberFormat="1" applyFont="1" applyBorder="1" applyAlignment="1">
      <alignment horizontal="center"/>
    </xf>
    <xf numFmtId="3" fontId="19" fillId="11" borderId="30" xfId="0" applyNumberFormat="1" applyFont="1" applyFill="1" applyBorder="1" applyAlignment="1">
      <alignment horizontal="center"/>
    </xf>
    <xf numFmtId="3" fontId="20" fillId="5" borderId="30" xfId="0" applyNumberFormat="1" applyFont="1" applyFill="1" applyBorder="1" applyAlignment="1">
      <alignment horizontal="center"/>
    </xf>
    <xf numFmtId="3" fontId="19" fillId="5" borderId="30" xfId="0" applyNumberFormat="1" applyFont="1" applyFill="1" applyBorder="1" applyAlignment="1">
      <alignment horizontal="center"/>
    </xf>
    <xf numFmtId="0" fontId="20" fillId="0" borderId="51" xfId="0" applyFont="1" applyBorder="1" applyAlignment="1">
      <alignment wrapText="1"/>
    </xf>
    <xf numFmtId="3" fontId="18" fillId="0" borderId="37" xfId="0" applyNumberFormat="1" applyFont="1" applyBorder="1" applyAlignment="1">
      <alignment horizontal="center"/>
    </xf>
    <xf numFmtId="3" fontId="18" fillId="0" borderId="38" xfId="0" applyNumberFormat="1" applyFont="1" applyBorder="1" applyAlignment="1">
      <alignment horizontal="center"/>
    </xf>
    <xf numFmtId="3" fontId="19" fillId="11" borderId="39" xfId="0" applyNumberFormat="1" applyFont="1" applyFill="1" applyBorder="1" applyAlignment="1">
      <alignment horizontal="center"/>
    </xf>
    <xf numFmtId="3" fontId="18" fillId="5" borderId="31" xfId="0" applyNumberFormat="1" applyFont="1" applyFill="1" applyBorder="1" applyAlignment="1">
      <alignment horizontal="center"/>
    </xf>
    <xf numFmtId="0" fontId="20" fillId="0" borderId="29" xfId="0" applyFont="1" applyBorder="1" applyAlignment="1">
      <alignment wrapText="1"/>
    </xf>
    <xf numFmtId="3" fontId="19" fillId="11" borderId="29" xfId="0" applyNumberFormat="1" applyFont="1" applyFill="1" applyBorder="1" applyAlignment="1">
      <alignment horizontal="center"/>
    </xf>
    <xf numFmtId="0" fontId="20" fillId="0" borderId="30" xfId="0" applyFont="1" applyBorder="1" applyAlignment="1">
      <alignment wrapText="1"/>
    </xf>
    <xf numFmtId="0" fontId="20" fillId="0" borderId="31" xfId="0" applyFont="1" applyBorder="1" applyAlignment="1">
      <alignment wrapText="1"/>
    </xf>
    <xf numFmtId="3" fontId="20" fillId="0" borderId="28" xfId="0" applyNumberFormat="1" applyFont="1" applyBorder="1" applyAlignment="1">
      <alignment horizontal="center"/>
    </xf>
    <xf numFmtId="3" fontId="20" fillId="0" borderId="34" xfId="0" applyNumberFormat="1" applyFont="1" applyBorder="1" applyAlignment="1">
      <alignment horizontal="center"/>
    </xf>
    <xf numFmtId="3" fontId="19" fillId="11" borderId="31" xfId="0" applyNumberFormat="1" applyFont="1" applyFill="1" applyBorder="1" applyAlignment="1">
      <alignment horizontal="center"/>
    </xf>
    <xf numFmtId="3" fontId="20" fillId="5" borderId="31" xfId="0" applyNumberFormat="1" applyFont="1" applyFill="1" applyBorder="1" applyAlignment="1">
      <alignment horizontal="center"/>
    </xf>
    <xf numFmtId="3" fontId="18" fillId="5" borderId="30" xfId="0" applyNumberFormat="1" applyFont="1" applyFill="1" applyBorder="1" applyAlignment="1">
      <alignment horizontal="center"/>
    </xf>
    <xf numFmtId="3" fontId="19" fillId="5" borderId="31" xfId="0" applyNumberFormat="1" applyFont="1" applyFill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6" fillId="0" borderId="24" xfId="0" applyFont="1" applyBorder="1" applyAlignment="1">
      <alignment horizontal="center" wrapText="1"/>
    </xf>
    <xf numFmtId="4" fontId="20" fillId="0" borderId="3" xfId="0" applyNumberFormat="1" applyFont="1" applyBorder="1" applyAlignment="1">
      <alignment horizontal="center" wrapText="1"/>
    </xf>
    <xf numFmtId="4" fontId="18" fillId="0" borderId="3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 wrapText="1"/>
    </xf>
    <xf numFmtId="4" fontId="12" fillId="0" borderId="3" xfId="0" applyNumberFormat="1" applyFont="1" applyBorder="1" applyAlignment="1">
      <alignment horizontal="center"/>
    </xf>
    <xf numFmtId="4" fontId="18" fillId="0" borderId="11" xfId="0" applyNumberFormat="1" applyFont="1" applyBorder="1" applyAlignment="1">
      <alignment horizontal="center"/>
    </xf>
    <xf numFmtId="49" fontId="11" fillId="0" borderId="45" xfId="0" applyNumberFormat="1" applyFont="1" applyBorder="1" applyAlignment="1">
      <alignment horizontal="center"/>
    </xf>
    <xf numFmtId="0" fontId="11" fillId="0" borderId="64" xfId="0" applyFont="1" applyBorder="1" applyAlignment="1">
      <alignment wrapText="1"/>
    </xf>
    <xf numFmtId="4" fontId="12" fillId="0" borderId="64" xfId="0" applyNumberFormat="1" applyFont="1" applyBorder="1" applyAlignment="1">
      <alignment horizontal="center"/>
    </xf>
    <xf numFmtId="4" fontId="12" fillId="0" borderId="66" xfId="0" applyNumberFormat="1" applyFont="1" applyBorder="1" applyAlignment="1">
      <alignment horizontal="center"/>
    </xf>
    <xf numFmtId="4" fontId="20" fillId="0" borderId="8" xfId="0" applyNumberFormat="1" applyFont="1" applyBorder="1" applyAlignment="1">
      <alignment horizontal="center" wrapText="1"/>
    </xf>
    <xf numFmtId="4" fontId="18" fillId="0" borderId="8" xfId="0" applyNumberFormat="1" applyFont="1" applyBorder="1" applyAlignment="1">
      <alignment horizontal="center"/>
    </xf>
    <xf numFmtId="0" fontId="12" fillId="0" borderId="69" xfId="0" applyFont="1" applyBorder="1" applyAlignment="1">
      <alignment horizontal="center"/>
    </xf>
    <xf numFmtId="0" fontId="21" fillId="6" borderId="59" xfId="0" applyFont="1" applyFill="1" applyBorder="1" applyAlignment="1">
      <alignment wrapText="1"/>
    </xf>
    <xf numFmtId="1" fontId="12" fillId="7" borderId="59" xfId="0" applyNumberFormat="1" applyFont="1" applyFill="1" applyBorder="1" applyAlignment="1">
      <alignment horizontal="center"/>
    </xf>
    <xf numFmtId="0" fontId="12" fillId="0" borderId="74" xfId="0" applyFont="1" applyBorder="1" applyAlignment="1">
      <alignment horizontal="center"/>
    </xf>
    <xf numFmtId="0" fontId="14" fillId="6" borderId="63" xfId="0" applyFont="1" applyFill="1" applyBorder="1" applyAlignment="1">
      <alignment wrapText="1"/>
    </xf>
    <xf numFmtId="1" fontId="12" fillId="7" borderId="63" xfId="0" applyNumberFormat="1" applyFont="1" applyFill="1" applyBorder="1" applyAlignment="1">
      <alignment horizontal="center"/>
    </xf>
    <xf numFmtId="1" fontId="12" fillId="13" borderId="24" xfId="0" applyNumberFormat="1" applyFont="1" applyFill="1" applyBorder="1" applyAlignment="1">
      <alignment horizontal="center" wrapText="1"/>
    </xf>
    <xf numFmtId="3" fontId="12" fillId="13" borderId="29" xfId="0" applyNumberFormat="1" applyFont="1" applyFill="1" applyBorder="1" applyAlignment="1">
      <alignment horizontal="center"/>
    </xf>
    <xf numFmtId="3" fontId="12" fillId="13" borderId="39" xfId="0" applyNumberFormat="1" applyFont="1" applyFill="1" applyBorder="1" applyAlignment="1">
      <alignment horizontal="center" wrapText="1"/>
    </xf>
    <xf numFmtId="3" fontId="12" fillId="13" borderId="24" xfId="0" applyNumberFormat="1" applyFont="1" applyFill="1" applyBorder="1" applyAlignment="1">
      <alignment horizontal="center" wrapText="1"/>
    </xf>
    <xf numFmtId="3" fontId="12" fillId="13" borderId="43" xfId="0" applyNumberFormat="1" applyFont="1" applyFill="1" applyBorder="1" applyAlignment="1">
      <alignment horizontal="center" wrapText="1"/>
    </xf>
    <xf numFmtId="3" fontId="12" fillId="13" borderId="30" xfId="0" applyNumberFormat="1" applyFont="1" applyFill="1" applyBorder="1" applyAlignment="1">
      <alignment horizontal="center" wrapText="1"/>
    </xf>
    <xf numFmtId="3" fontId="20" fillId="13" borderId="29" xfId="0" applyNumberFormat="1" applyFont="1" applyFill="1" applyBorder="1" applyAlignment="1">
      <alignment horizontal="center" wrapText="1"/>
    </xf>
    <xf numFmtId="3" fontId="20" fillId="13" borderId="30" xfId="0" applyNumberFormat="1" applyFont="1" applyFill="1" applyBorder="1" applyAlignment="1">
      <alignment horizontal="center" wrapText="1"/>
    </xf>
    <xf numFmtId="3" fontId="20" fillId="13" borderId="31" xfId="0" applyNumberFormat="1" applyFont="1" applyFill="1" applyBorder="1" applyAlignment="1">
      <alignment horizontal="center" wrapText="1"/>
    </xf>
    <xf numFmtId="3" fontId="11" fillId="13" borderId="24" xfId="0" applyNumberFormat="1" applyFont="1" applyFill="1" applyBorder="1" applyAlignment="1">
      <alignment horizontal="center" wrapText="1"/>
    </xf>
    <xf numFmtId="3" fontId="12" fillId="13" borderId="24" xfId="0" applyNumberFormat="1" applyFont="1" applyFill="1" applyBorder="1" applyAlignment="1">
      <alignment horizontal="center"/>
    </xf>
    <xf numFmtId="3" fontId="20" fillId="13" borderId="39" xfId="0" applyNumberFormat="1" applyFont="1" applyFill="1" applyBorder="1" applyAlignment="1">
      <alignment horizontal="center" wrapText="1"/>
    </xf>
    <xf numFmtId="3" fontId="19" fillId="13" borderId="30" xfId="0" applyNumberFormat="1" applyFont="1" applyFill="1" applyBorder="1" applyAlignment="1">
      <alignment horizontal="center" wrapText="1"/>
    </xf>
    <xf numFmtId="3" fontId="19" fillId="13" borderId="49" xfId="0" applyNumberFormat="1" applyFont="1" applyFill="1" applyBorder="1" applyAlignment="1">
      <alignment horizontal="center" wrapText="1"/>
    </xf>
    <xf numFmtId="4" fontId="22" fillId="0" borderId="11" xfId="0" applyNumberFormat="1" applyFont="1" applyBorder="1" applyAlignment="1">
      <alignment horizontal="center" wrapText="1"/>
    </xf>
    <xf numFmtId="4" fontId="18" fillId="8" borderId="42" xfId="0" applyNumberFormat="1" applyFont="1" applyFill="1" applyBorder="1" applyAlignment="1">
      <alignment horizontal="center"/>
    </xf>
    <xf numFmtId="4" fontId="18" fillId="8" borderId="33" xfId="0" applyNumberFormat="1" applyFont="1" applyFill="1" applyBorder="1" applyAlignment="1">
      <alignment horizontal="center"/>
    </xf>
    <xf numFmtId="4" fontId="12" fillId="0" borderId="33" xfId="0" applyNumberFormat="1" applyFont="1" applyBorder="1" applyAlignment="1">
      <alignment horizontal="center"/>
    </xf>
    <xf numFmtId="4" fontId="18" fillId="0" borderId="33" xfId="0" applyNumberFormat="1" applyFont="1" applyBorder="1" applyAlignment="1">
      <alignment horizontal="center"/>
    </xf>
    <xf numFmtId="4" fontId="18" fillId="0" borderId="38" xfId="0" applyNumberFormat="1" applyFont="1" applyBorder="1" applyAlignment="1">
      <alignment horizontal="center"/>
    </xf>
    <xf numFmtId="4" fontId="18" fillId="8" borderId="29" xfId="0" applyNumberFormat="1" applyFont="1" applyFill="1" applyBorder="1" applyAlignment="1">
      <alignment horizontal="center"/>
    </xf>
    <xf numFmtId="4" fontId="18" fillId="8" borderId="30" xfId="0" applyNumberFormat="1" applyFont="1" applyFill="1" applyBorder="1" applyAlignment="1">
      <alignment horizontal="center"/>
    </xf>
    <xf numFmtId="4" fontId="12" fillId="0" borderId="30" xfId="0" applyNumberFormat="1" applyFont="1" applyBorder="1" applyAlignment="1">
      <alignment horizontal="center"/>
    </xf>
    <xf numFmtId="4" fontId="18" fillId="8" borderId="31" xfId="0" applyNumberFormat="1" applyFont="1" applyFill="1" applyBorder="1" applyAlignment="1">
      <alignment horizontal="center"/>
    </xf>
    <xf numFmtId="4" fontId="12" fillId="0" borderId="47" xfId="0" applyNumberFormat="1" applyFont="1" applyBorder="1" applyAlignment="1">
      <alignment horizontal="center"/>
    </xf>
    <xf numFmtId="4" fontId="12" fillId="0" borderId="24" xfId="0" applyNumberFormat="1" applyFont="1" applyBorder="1" applyAlignment="1">
      <alignment horizontal="center"/>
    </xf>
    <xf numFmtId="4" fontId="19" fillId="0" borderId="29" xfId="0" applyNumberFormat="1" applyFont="1" applyBorder="1" applyAlignment="1">
      <alignment horizontal="center"/>
    </xf>
    <xf numFmtId="4" fontId="19" fillId="0" borderId="30" xfId="0" applyNumberFormat="1" applyFont="1" applyBorder="1" applyAlignment="1">
      <alignment horizontal="center"/>
    </xf>
    <xf numFmtId="4" fontId="18" fillId="0" borderId="30" xfId="0" applyNumberFormat="1" applyFont="1" applyBorder="1" applyAlignment="1">
      <alignment horizontal="center"/>
    </xf>
    <xf numFmtId="4" fontId="18" fillId="0" borderId="31" xfId="0" applyNumberFormat="1" applyFont="1" applyBorder="1" applyAlignment="1">
      <alignment horizontal="center"/>
    </xf>
    <xf numFmtId="0" fontId="20" fillId="0" borderId="41" xfId="0" applyFont="1" applyBorder="1" applyAlignment="1">
      <alignment wrapText="1"/>
    </xf>
    <xf numFmtId="0" fontId="20" fillId="0" borderId="27" xfId="0" applyFont="1" applyBorder="1" applyAlignment="1">
      <alignment wrapText="1"/>
    </xf>
    <xf numFmtId="0" fontId="11" fillId="0" borderId="27" xfId="0" applyFont="1" applyBorder="1" applyAlignment="1">
      <alignment wrapText="1"/>
    </xf>
    <xf numFmtId="0" fontId="20" fillId="0" borderId="37" xfId="0" applyFont="1" applyBorder="1" applyAlignment="1">
      <alignment wrapText="1"/>
    </xf>
    <xf numFmtId="49" fontId="13" fillId="0" borderId="29" xfId="0" applyNumberFormat="1" applyFont="1" applyBorder="1" applyAlignment="1">
      <alignment horizontal="center"/>
    </xf>
    <xf numFmtId="49" fontId="13" fillId="0" borderId="30" xfId="0" applyNumberFormat="1" applyFont="1" applyBorder="1" applyAlignment="1">
      <alignment horizontal="center"/>
    </xf>
    <xf numFmtId="49" fontId="12" fillId="0" borderId="30" xfId="0" applyNumberFormat="1" applyFont="1" applyBorder="1" applyAlignment="1">
      <alignment horizontal="center"/>
    </xf>
    <xf numFmtId="49" fontId="8" fillId="0" borderId="30" xfId="0" applyNumberFormat="1" applyFont="1" applyBorder="1" applyAlignment="1">
      <alignment horizontal="center"/>
    </xf>
    <xf numFmtId="49" fontId="8" fillId="0" borderId="31" xfId="0" applyNumberFormat="1" applyFont="1" applyBorder="1" applyAlignment="1">
      <alignment horizontal="center"/>
    </xf>
    <xf numFmtId="0" fontId="12" fillId="0" borderId="24" xfId="0" applyFont="1" applyBorder="1" applyAlignment="1">
      <alignment horizontal="left" wrapText="1"/>
    </xf>
    <xf numFmtId="3" fontId="11" fillId="11" borderId="24" xfId="0" applyNumberFormat="1" applyFont="1" applyFill="1" applyBorder="1" applyAlignment="1">
      <alignment horizontal="center"/>
    </xf>
    <xf numFmtId="3" fontId="11" fillId="5" borderId="24" xfId="0" applyNumberFormat="1" applyFont="1" applyFill="1" applyBorder="1" applyAlignment="1">
      <alignment horizontal="center"/>
    </xf>
    <xf numFmtId="4" fontId="11" fillId="0" borderId="65" xfId="0" applyNumberFormat="1" applyFont="1" applyBorder="1" applyAlignment="1">
      <alignment horizontal="center" wrapText="1"/>
    </xf>
    <xf numFmtId="49" fontId="12" fillId="2" borderId="45" xfId="0" applyNumberFormat="1" applyFont="1" applyFill="1" applyBorder="1" applyAlignment="1">
      <alignment horizontal="center"/>
    </xf>
    <xf numFmtId="0" fontId="11" fillId="2" borderId="67" xfId="0" applyFont="1" applyFill="1" applyBorder="1" applyAlignment="1">
      <alignment wrapText="1"/>
    </xf>
    <xf numFmtId="4" fontId="11" fillId="0" borderId="67" xfId="0" applyNumberFormat="1" applyFont="1" applyBorder="1" applyAlignment="1">
      <alignment horizontal="center" wrapText="1"/>
    </xf>
    <xf numFmtId="4" fontId="12" fillId="9" borderId="67" xfId="0" applyNumberFormat="1" applyFont="1" applyFill="1" applyBorder="1" applyAlignment="1">
      <alignment horizontal="center"/>
    </xf>
    <xf numFmtId="4" fontId="12" fillId="9" borderId="46" xfId="0" applyNumberFormat="1" applyFont="1" applyFill="1" applyBorder="1" applyAlignment="1">
      <alignment horizontal="center"/>
    </xf>
    <xf numFmtId="4" fontId="12" fillId="9" borderId="24" xfId="0" applyNumberFormat="1" applyFont="1" applyFill="1" applyBorder="1" applyAlignment="1">
      <alignment horizontal="center"/>
    </xf>
    <xf numFmtId="4" fontId="12" fillId="9" borderId="47" xfId="0" applyNumberFormat="1" applyFont="1" applyFill="1" applyBorder="1" applyAlignment="1">
      <alignment horizontal="center"/>
    </xf>
    <xf numFmtId="0" fontId="12" fillId="0" borderId="59" xfId="0" applyFont="1" applyBorder="1" applyAlignment="1">
      <alignment wrapText="1"/>
    </xf>
    <xf numFmtId="3" fontId="12" fillId="13" borderId="62" xfId="0" applyNumberFormat="1" applyFont="1" applyFill="1" applyBorder="1" applyAlignment="1">
      <alignment horizontal="center" wrapText="1"/>
    </xf>
    <xf numFmtId="3" fontId="12" fillId="0" borderId="60" xfId="0" applyNumberFormat="1" applyFont="1" applyBorder="1" applyAlignment="1">
      <alignment horizontal="center"/>
    </xf>
    <xf numFmtId="3" fontId="12" fillId="0" borderId="61" xfId="0" applyNumberFormat="1" applyFont="1" applyBorder="1" applyAlignment="1">
      <alignment horizontal="center"/>
    </xf>
    <xf numFmtId="3" fontId="12" fillId="11" borderId="62" xfId="0" applyNumberFormat="1" applyFont="1" applyFill="1" applyBorder="1" applyAlignment="1">
      <alignment horizontal="center"/>
    </xf>
    <xf numFmtId="0" fontId="18" fillId="0" borderId="53" xfId="0" applyFont="1" applyBorder="1" applyAlignment="1">
      <alignment wrapText="1"/>
    </xf>
    <xf numFmtId="0" fontId="18" fillId="0" borderId="55" xfId="0" applyFont="1" applyBorder="1" applyAlignment="1">
      <alignment wrapText="1"/>
    </xf>
    <xf numFmtId="0" fontId="18" fillId="0" borderId="79" xfId="0" applyFont="1" applyBorder="1" applyAlignment="1">
      <alignment wrapText="1"/>
    </xf>
    <xf numFmtId="3" fontId="12" fillId="5" borderId="62" xfId="0" applyNumberFormat="1" applyFont="1" applyFill="1" applyBorder="1" applyAlignment="1">
      <alignment horizontal="center"/>
    </xf>
    <xf numFmtId="3" fontId="12" fillId="0" borderId="0" xfId="0" applyNumberFormat="1" applyFont="1"/>
    <xf numFmtId="1" fontId="12" fillId="7" borderId="71" xfId="0" applyNumberFormat="1" applyFont="1" applyFill="1" applyBorder="1" applyAlignment="1">
      <alignment horizontal="center" vertical="center" wrapText="1"/>
    </xf>
    <xf numFmtId="1" fontId="12" fillId="7" borderId="76" xfId="0" applyNumberFormat="1" applyFont="1" applyFill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 wrapText="1"/>
    </xf>
    <xf numFmtId="0" fontId="16" fillId="0" borderId="67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left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" fontId="12" fillId="7" borderId="72" xfId="0" applyNumberFormat="1" applyFont="1" applyFill="1" applyBorder="1" applyAlignment="1">
      <alignment horizontal="center" wrapText="1"/>
    </xf>
    <xf numFmtId="0" fontId="0" fillId="0" borderId="77" xfId="0" applyBorder="1" applyAlignment="1">
      <alignment horizontal="center" wrapText="1"/>
    </xf>
    <xf numFmtId="1" fontId="12" fillId="7" borderId="73" xfId="0" applyNumberFormat="1" applyFont="1" applyFill="1" applyBorder="1" applyAlignment="1">
      <alignment horizontal="center" wrapText="1"/>
    </xf>
    <xf numFmtId="0" fontId="0" fillId="0" borderId="78" xfId="0" applyBorder="1" applyAlignment="1">
      <alignment horizontal="center" wrapText="1"/>
    </xf>
    <xf numFmtId="1" fontId="17" fillId="12" borderId="70" xfId="0" applyNumberFormat="1" applyFont="1" applyFill="1" applyBorder="1" applyAlignment="1">
      <alignment horizontal="center" wrapText="1"/>
    </xf>
    <xf numFmtId="0" fontId="17" fillId="12" borderId="7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8" fillId="0" borderId="23" xfId="0" applyFont="1" applyBorder="1" applyAlignment="1">
      <alignment horizontal="left"/>
    </xf>
    <xf numFmtId="0" fontId="8" fillId="0" borderId="0" xfId="0" applyFont="1" applyAlignment="1">
      <alignment horizontal="left"/>
    </xf>
    <xf numFmtId="2" fontId="7" fillId="4" borderId="3" xfId="0" applyNumberFormat="1" applyFont="1" applyFill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wrapText="1"/>
    </xf>
    <xf numFmtId="2" fontId="8" fillId="0" borderId="0" xfId="0" applyNumberFormat="1" applyFont="1" applyAlignment="1">
      <alignment horizontal="center" wrapText="1"/>
    </xf>
    <xf numFmtId="2" fontId="9" fillId="0" borderId="11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7" fillId="5" borderId="3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44;&#1057;&#1055;&#1050;%20&#1064;&#1080;&#1096;&#1082;&#1080;&#1085;&#1086;/&#1056;&#1072;&#1089;&#1096;&#1080;&#1092;&#1088;&#1086;&#1074;&#1082;&#1072;%20&#1073;&#1072;&#1085;&#1082;&#1072;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44;&#1057;&#1055;&#1050;%20&#1064;&#1080;&#1096;&#1082;&#1080;&#1085;&#1086;/&#1056;&#1072;&#1089;&#1096;&#1080;&#1092;&#1088;&#1086;&#1074;&#1082;&#1072;%20&#1073;&#1072;&#1085;&#1082;&#107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 месяцам"/>
      <sheetName val="общая"/>
      <sheetName val="Лист1"/>
      <sheetName val="Лист2"/>
    </sheetNames>
    <sheetDataSet>
      <sheetData sheetId="0">
        <row r="3">
          <cell r="K3">
            <v>39200</v>
          </cell>
        </row>
        <row r="4">
          <cell r="K4">
            <v>20010</v>
          </cell>
        </row>
        <row r="5">
          <cell r="K5">
            <v>12503.79</v>
          </cell>
        </row>
        <row r="6">
          <cell r="K6">
            <v>29667.57</v>
          </cell>
        </row>
        <row r="7">
          <cell r="K7">
            <v>336316.5</v>
          </cell>
        </row>
        <row r="8">
          <cell r="K8">
            <v>40020</v>
          </cell>
        </row>
        <row r="9">
          <cell r="K9">
            <v>14162</v>
          </cell>
        </row>
        <row r="10">
          <cell r="K10">
            <v>0</v>
          </cell>
        </row>
        <row r="11">
          <cell r="K11">
            <v>2120.0700000000002</v>
          </cell>
        </row>
        <row r="12">
          <cell r="K12">
            <v>35800</v>
          </cell>
        </row>
        <row r="13">
          <cell r="K13">
            <v>0</v>
          </cell>
        </row>
        <row r="18">
          <cell r="K18">
            <v>35000</v>
          </cell>
        </row>
        <row r="19">
          <cell r="K19">
            <v>20010</v>
          </cell>
        </row>
        <row r="20">
          <cell r="K20">
            <v>39829.74</v>
          </cell>
        </row>
        <row r="21">
          <cell r="K21">
            <v>16629</v>
          </cell>
        </row>
        <row r="22">
          <cell r="K22">
            <v>230728.5</v>
          </cell>
        </row>
        <row r="23">
          <cell r="K23">
            <v>38010</v>
          </cell>
        </row>
        <row r="24">
          <cell r="K24">
            <v>2000</v>
          </cell>
        </row>
        <row r="25">
          <cell r="K25">
            <v>45000</v>
          </cell>
        </row>
        <row r="26">
          <cell r="K26">
            <v>1940.03</v>
          </cell>
        </row>
        <row r="27">
          <cell r="K27">
            <v>0</v>
          </cell>
        </row>
        <row r="28">
          <cell r="K28">
            <v>22000</v>
          </cell>
        </row>
        <row r="33">
          <cell r="K33">
            <v>39200</v>
          </cell>
        </row>
        <row r="34">
          <cell r="K34">
            <v>20010</v>
          </cell>
        </row>
        <row r="35">
          <cell r="K35">
            <v>21303.79</v>
          </cell>
        </row>
        <row r="36">
          <cell r="K36">
            <v>83647</v>
          </cell>
        </row>
        <row r="37">
          <cell r="K37">
            <v>163836</v>
          </cell>
        </row>
        <row r="38">
          <cell r="K38">
            <v>40020</v>
          </cell>
        </row>
        <row r="39">
          <cell r="K39">
            <v>14162</v>
          </cell>
        </row>
        <row r="40">
          <cell r="K40">
            <v>27000</v>
          </cell>
        </row>
        <row r="41">
          <cell r="K41">
            <v>1397.05</v>
          </cell>
        </row>
        <row r="42">
          <cell r="K42">
            <v>35800</v>
          </cell>
        </row>
        <row r="43">
          <cell r="K43">
            <v>0</v>
          </cell>
        </row>
        <row r="48">
          <cell r="K48">
            <v>39200</v>
          </cell>
        </row>
        <row r="49">
          <cell r="K49">
            <v>30015</v>
          </cell>
        </row>
        <row r="50">
          <cell r="K50">
            <v>38903.79</v>
          </cell>
        </row>
        <row r="51">
          <cell r="K51">
            <v>49326.5</v>
          </cell>
        </row>
        <row r="52">
          <cell r="K52">
            <v>205771.5</v>
          </cell>
        </row>
        <row r="53">
          <cell r="K53">
            <v>40020</v>
          </cell>
        </row>
        <row r="54">
          <cell r="K54">
            <v>0</v>
          </cell>
        </row>
        <row r="55">
          <cell r="K55">
            <v>0</v>
          </cell>
        </row>
        <row r="56">
          <cell r="K56">
            <v>2155.0700000000002</v>
          </cell>
        </row>
        <row r="57">
          <cell r="K57">
            <v>35800</v>
          </cell>
        </row>
        <row r="58">
          <cell r="K58">
            <v>0</v>
          </cell>
        </row>
        <row r="63">
          <cell r="K63">
            <v>39200</v>
          </cell>
        </row>
        <row r="64">
          <cell r="K64">
            <v>10005</v>
          </cell>
        </row>
        <row r="65">
          <cell r="K65">
            <v>113703.79</v>
          </cell>
        </row>
        <row r="66">
          <cell r="K66">
            <v>51442.5</v>
          </cell>
        </row>
        <row r="67">
          <cell r="K67">
            <v>133078.5</v>
          </cell>
        </row>
        <row r="68">
          <cell r="K68">
            <v>40020</v>
          </cell>
        </row>
        <row r="69">
          <cell r="K69">
            <v>15081</v>
          </cell>
        </row>
        <row r="70">
          <cell r="K70">
            <v>0</v>
          </cell>
        </row>
        <row r="71">
          <cell r="K71">
            <v>2018.07</v>
          </cell>
        </row>
        <row r="72">
          <cell r="K72">
            <v>35800</v>
          </cell>
        </row>
        <row r="77">
          <cell r="K77">
            <v>0</v>
          </cell>
        </row>
        <row r="78">
          <cell r="K78">
            <v>20010</v>
          </cell>
        </row>
        <row r="79">
          <cell r="K79">
            <v>83829.740000000005</v>
          </cell>
        </row>
        <row r="80">
          <cell r="K80">
            <v>51442.5</v>
          </cell>
        </row>
        <row r="81">
          <cell r="K81">
            <v>53109</v>
          </cell>
        </row>
        <row r="82">
          <cell r="K82">
            <v>40020</v>
          </cell>
        </row>
        <row r="83">
          <cell r="K83">
            <v>7081</v>
          </cell>
        </row>
        <row r="84">
          <cell r="K84">
            <v>0</v>
          </cell>
        </row>
        <row r="85">
          <cell r="K85">
            <v>1508.07</v>
          </cell>
        </row>
        <row r="86">
          <cell r="K86">
            <v>0</v>
          </cell>
        </row>
        <row r="87">
          <cell r="K87">
            <v>0</v>
          </cell>
        </row>
        <row r="92">
          <cell r="K92">
            <v>78400</v>
          </cell>
        </row>
        <row r="93">
          <cell r="K93">
            <v>20010</v>
          </cell>
        </row>
        <row r="94">
          <cell r="K94">
            <v>61600</v>
          </cell>
        </row>
        <row r="95">
          <cell r="K95">
            <v>49326.5</v>
          </cell>
        </row>
        <row r="96">
          <cell r="K96">
            <v>0</v>
          </cell>
        </row>
        <row r="97">
          <cell r="K97">
            <v>40020</v>
          </cell>
        </row>
        <row r="98">
          <cell r="K98">
            <v>11081</v>
          </cell>
        </row>
        <row r="99">
          <cell r="K99">
            <v>0</v>
          </cell>
        </row>
        <row r="100">
          <cell r="K100">
            <v>2108.0700000000002</v>
          </cell>
        </row>
        <row r="101">
          <cell r="K101">
            <v>71600</v>
          </cell>
        </row>
        <row r="102">
          <cell r="K102">
            <v>0</v>
          </cell>
        </row>
        <row r="107">
          <cell r="K107">
            <v>39200</v>
          </cell>
        </row>
        <row r="108">
          <cell r="K108">
            <v>20010</v>
          </cell>
        </row>
        <row r="109">
          <cell r="K109">
            <v>91029.74</v>
          </cell>
        </row>
        <row r="110">
          <cell r="K110">
            <v>49326.5</v>
          </cell>
        </row>
        <row r="111">
          <cell r="K111">
            <v>0</v>
          </cell>
        </row>
        <row r="112">
          <cell r="K112">
            <v>40020</v>
          </cell>
        </row>
        <row r="113">
          <cell r="K113">
            <v>4000</v>
          </cell>
        </row>
        <row r="114">
          <cell r="K114">
            <v>0</v>
          </cell>
        </row>
        <row r="115">
          <cell r="K115">
            <v>1808.07</v>
          </cell>
        </row>
        <row r="116">
          <cell r="K116">
            <v>35800</v>
          </cell>
        </row>
        <row r="117">
          <cell r="K117">
            <v>0</v>
          </cell>
        </row>
        <row r="122">
          <cell r="K122">
            <v>19213</v>
          </cell>
        </row>
        <row r="123">
          <cell r="K123">
            <v>20010</v>
          </cell>
        </row>
        <row r="124">
          <cell r="K124">
            <v>70903.789999999994</v>
          </cell>
        </row>
        <row r="125">
          <cell r="K125">
            <v>49327.26</v>
          </cell>
        </row>
        <row r="126">
          <cell r="K126">
            <v>366403.5</v>
          </cell>
        </row>
        <row r="127">
          <cell r="K127">
            <v>40020</v>
          </cell>
        </row>
        <row r="128">
          <cell r="K128">
            <v>21243</v>
          </cell>
        </row>
        <row r="129">
          <cell r="K129">
            <v>0</v>
          </cell>
        </row>
        <row r="130">
          <cell r="K130">
            <v>2075.0700000000002</v>
          </cell>
        </row>
        <row r="131">
          <cell r="K131">
            <v>0</v>
          </cell>
        </row>
        <row r="132">
          <cell r="K132">
            <v>0</v>
          </cell>
        </row>
        <row r="137">
          <cell r="K137">
            <v>78400</v>
          </cell>
        </row>
        <row r="138">
          <cell r="K138">
            <v>20010</v>
          </cell>
        </row>
        <row r="139">
          <cell r="K139">
            <v>79243.789999999994</v>
          </cell>
        </row>
        <row r="140">
          <cell r="K140">
            <v>2392</v>
          </cell>
        </row>
        <row r="141">
          <cell r="K141">
            <v>0</v>
          </cell>
        </row>
        <row r="142">
          <cell r="K142">
            <v>40020</v>
          </cell>
        </row>
        <row r="143">
          <cell r="K143">
            <v>0</v>
          </cell>
        </row>
        <row r="144">
          <cell r="K144">
            <v>13000</v>
          </cell>
        </row>
        <row r="145">
          <cell r="K145">
            <v>1465.07</v>
          </cell>
        </row>
        <row r="146">
          <cell r="K146">
            <v>71600</v>
          </cell>
        </row>
        <row r="151">
          <cell r="K151">
            <v>0</v>
          </cell>
        </row>
        <row r="152">
          <cell r="K152">
            <v>20010</v>
          </cell>
        </row>
        <row r="153">
          <cell r="K153">
            <v>109303.79</v>
          </cell>
        </row>
        <row r="154">
          <cell r="K154">
            <v>598</v>
          </cell>
        </row>
        <row r="155">
          <cell r="K155">
            <v>0</v>
          </cell>
        </row>
        <row r="156">
          <cell r="K156">
            <v>40020</v>
          </cell>
        </row>
        <row r="157">
          <cell r="K157">
            <v>20162</v>
          </cell>
        </row>
        <row r="158">
          <cell r="K158">
            <v>52000</v>
          </cell>
        </row>
        <row r="159">
          <cell r="K159">
            <v>1660.07</v>
          </cell>
        </row>
        <row r="160">
          <cell r="K160">
            <v>0</v>
          </cell>
        </row>
        <row r="161">
          <cell r="K161">
            <v>0</v>
          </cell>
        </row>
        <row r="166">
          <cell r="K166">
            <v>39200</v>
          </cell>
        </row>
        <row r="167">
          <cell r="K167">
            <v>20010</v>
          </cell>
        </row>
        <row r="168">
          <cell r="K168">
            <v>80503.789999999994</v>
          </cell>
        </row>
        <row r="169">
          <cell r="K169">
            <v>49924.5</v>
          </cell>
        </row>
        <row r="170">
          <cell r="K170">
            <v>0</v>
          </cell>
        </row>
        <row r="171">
          <cell r="K171">
            <v>40020</v>
          </cell>
        </row>
        <row r="172">
          <cell r="K172">
            <v>0</v>
          </cell>
        </row>
        <row r="173">
          <cell r="K173">
            <v>13000</v>
          </cell>
        </row>
        <row r="174">
          <cell r="K174">
            <v>2470.11</v>
          </cell>
        </row>
        <row r="175">
          <cell r="K175">
            <v>70100</v>
          </cell>
        </row>
        <row r="176">
          <cell r="K176">
            <v>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 месяцам"/>
      <sheetName val="общая"/>
      <sheetName val="Лист1"/>
      <sheetName val="Лист2"/>
    </sheetNames>
    <sheetDataSet>
      <sheetData sheetId="0">
        <row r="3">
          <cell r="I3">
            <v>78400</v>
          </cell>
        </row>
        <row r="4">
          <cell r="I4">
            <v>20010</v>
          </cell>
        </row>
        <row r="5">
          <cell r="I5">
            <v>30311.370000000003</v>
          </cell>
        </row>
        <row r="6">
          <cell r="I6">
            <v>49926.96</v>
          </cell>
        </row>
        <row r="7">
          <cell r="I7">
            <v>13930.44</v>
          </cell>
        </row>
        <row r="8">
          <cell r="I8">
            <v>57258</v>
          </cell>
        </row>
        <row r="9">
          <cell r="I9">
            <v>40020</v>
          </cell>
        </row>
        <row r="10">
          <cell r="I10">
            <v>18162</v>
          </cell>
        </row>
        <row r="11">
          <cell r="I11">
            <v>0</v>
          </cell>
        </row>
        <row r="12">
          <cell r="I12">
            <v>1400.07</v>
          </cell>
        </row>
        <row r="13">
          <cell r="I13">
            <v>71600</v>
          </cell>
        </row>
        <row r="14">
          <cell r="I14">
            <v>0</v>
          </cell>
        </row>
        <row r="19">
          <cell r="G19">
            <v>39200</v>
          </cell>
        </row>
        <row r="20">
          <cell r="G20">
            <v>20010</v>
          </cell>
        </row>
        <row r="21">
          <cell r="G21">
            <v>56755.68</v>
          </cell>
        </row>
        <row r="22">
          <cell r="G22">
            <v>61174.5</v>
          </cell>
        </row>
        <row r="23">
          <cell r="G23">
            <v>13930.44</v>
          </cell>
        </row>
        <row r="24">
          <cell r="G24">
            <v>97011</v>
          </cell>
        </row>
        <row r="25">
          <cell r="G25">
            <v>59142.44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1790.03</v>
          </cell>
        </row>
        <row r="29">
          <cell r="G29">
            <v>35800</v>
          </cell>
        </row>
        <row r="30">
          <cell r="G30">
            <v>0</v>
          </cell>
        </row>
        <row r="35">
          <cell r="I35">
            <v>39200</v>
          </cell>
        </row>
        <row r="36">
          <cell r="I36">
            <v>20010</v>
          </cell>
        </row>
        <row r="37">
          <cell r="I37">
            <v>24503.79</v>
          </cell>
        </row>
        <row r="38">
          <cell r="I38">
            <v>58083.729999999996</v>
          </cell>
        </row>
        <row r="39">
          <cell r="I39">
            <v>13930.44</v>
          </cell>
        </row>
        <row r="40">
          <cell r="I40">
            <v>130612.5</v>
          </cell>
        </row>
        <row r="41">
          <cell r="I41">
            <v>20010</v>
          </cell>
        </row>
        <row r="42">
          <cell r="I42">
            <v>18162</v>
          </cell>
        </row>
        <row r="43">
          <cell r="I43">
            <v>0</v>
          </cell>
        </row>
        <row r="44">
          <cell r="I44">
            <v>1428.75</v>
          </cell>
        </row>
        <row r="45">
          <cell r="I45">
            <v>35800</v>
          </cell>
        </row>
        <row r="46">
          <cell r="I46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34903.79</v>
          </cell>
        </row>
        <row r="54">
          <cell r="G54">
            <v>16388.04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1320.02</v>
          </cell>
        </row>
        <row r="61">
          <cell r="G61">
            <v>0</v>
          </cell>
        </row>
        <row r="62">
          <cell r="G62">
            <v>0</v>
          </cell>
        </row>
        <row r="67">
          <cell r="K67">
            <v>78400</v>
          </cell>
        </row>
        <row r="68">
          <cell r="K68">
            <v>40020</v>
          </cell>
        </row>
        <row r="69">
          <cell r="K69">
            <v>120881.63</v>
          </cell>
        </row>
        <row r="70">
          <cell r="K70">
            <v>107810</v>
          </cell>
        </row>
        <row r="71">
          <cell r="K71">
            <v>27860.880000000001</v>
          </cell>
        </row>
        <row r="72">
          <cell r="K72">
            <v>379.8</v>
          </cell>
        </row>
        <row r="73">
          <cell r="K73">
            <v>80040</v>
          </cell>
        </row>
        <row r="74">
          <cell r="K74">
            <v>18162</v>
          </cell>
        </row>
        <row r="75">
          <cell r="K75">
            <v>0</v>
          </cell>
        </row>
        <row r="76">
          <cell r="K76">
            <v>885.09999999999991</v>
          </cell>
        </row>
        <row r="77">
          <cell r="K77">
            <v>71600</v>
          </cell>
        </row>
        <row r="78">
          <cell r="K78">
            <v>25000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58"/>
  <sheetViews>
    <sheetView tabSelected="1" zoomScaleNormal="100" workbookViewId="0">
      <selection activeCell="B4" sqref="B4:G4"/>
    </sheetView>
  </sheetViews>
  <sheetFormatPr defaultRowHeight="15" x14ac:dyDescent="0.25"/>
  <cols>
    <col min="1" max="1" width="4.5546875" style="55" customWidth="1"/>
    <col min="2" max="2" width="50.109375" style="61" customWidth="1"/>
    <col min="3" max="3" width="14.6640625" style="62" customWidth="1"/>
    <col min="4" max="4" width="15.109375" style="62" customWidth="1"/>
    <col min="5" max="5" width="13.21875" style="58" customWidth="1"/>
    <col min="6" max="6" width="14.88671875" style="58" customWidth="1"/>
    <col min="7" max="7" width="12.109375" style="59" customWidth="1"/>
    <col min="8" max="60" width="11.88671875" style="25" customWidth="1"/>
    <col min="61" max="16384" width="8.88671875" style="25"/>
  </cols>
  <sheetData>
    <row r="1" spans="1:9" s="64" customFormat="1" ht="21.6" customHeight="1" x14ac:dyDescent="0.3">
      <c r="A1" s="63"/>
      <c r="B1" s="245" t="s">
        <v>40</v>
      </c>
      <c r="C1" s="245"/>
      <c r="D1" s="245"/>
      <c r="E1" s="245"/>
      <c r="F1" s="245"/>
      <c r="G1" s="245"/>
    </row>
    <row r="2" spans="1:9" s="64" customFormat="1" ht="13.8" customHeight="1" x14ac:dyDescent="0.3">
      <c r="A2" s="63"/>
      <c r="B2" s="246" t="s">
        <v>172</v>
      </c>
      <c r="C2" s="254"/>
      <c r="D2" s="254"/>
      <c r="E2" s="254"/>
      <c r="F2" s="254"/>
      <c r="G2" s="254"/>
    </row>
    <row r="3" spans="1:9" s="64" customFormat="1" ht="13.8" customHeight="1" x14ac:dyDescent="0.3">
      <c r="A3" s="63"/>
      <c r="B3" s="246" t="s">
        <v>41</v>
      </c>
      <c r="C3" s="246"/>
      <c r="D3" s="246"/>
      <c r="E3" s="246"/>
      <c r="F3" s="246"/>
      <c r="G3" s="246"/>
    </row>
    <row r="4" spans="1:9" s="64" customFormat="1" ht="13.8" customHeight="1" x14ac:dyDescent="0.3">
      <c r="A4" s="63"/>
      <c r="B4" s="246" t="s">
        <v>173</v>
      </c>
      <c r="C4" s="246"/>
      <c r="D4" s="246"/>
      <c r="E4" s="246"/>
      <c r="F4" s="246"/>
      <c r="G4" s="246"/>
    </row>
    <row r="5" spans="1:9" s="64" customFormat="1" ht="13.8" customHeight="1" x14ac:dyDescent="0.3">
      <c r="A5" s="63"/>
      <c r="B5" s="65"/>
      <c r="C5" s="65"/>
      <c r="D5" s="65"/>
      <c r="E5" s="65"/>
      <c r="F5" s="65"/>
      <c r="G5" s="65"/>
    </row>
    <row r="6" spans="1:9" s="64" customFormat="1" ht="17.399999999999999" x14ac:dyDescent="0.3">
      <c r="A6" s="63"/>
      <c r="B6" s="246" t="s">
        <v>153</v>
      </c>
      <c r="C6" s="247"/>
      <c r="D6" s="247"/>
      <c r="E6" s="247"/>
      <c r="F6" s="247"/>
      <c r="G6" s="247"/>
    </row>
    <row r="7" spans="1:9" ht="16.2" thickBot="1" x14ac:dyDescent="0.35">
      <c r="B7" s="56"/>
      <c r="C7" s="57"/>
      <c r="D7" s="57"/>
    </row>
    <row r="8" spans="1:9" ht="57.75" customHeight="1" thickTop="1" thickBot="1" x14ac:dyDescent="0.35">
      <c r="A8" s="161" t="s">
        <v>42</v>
      </c>
      <c r="B8" s="162" t="s">
        <v>165</v>
      </c>
      <c r="C8" s="180" t="s">
        <v>154</v>
      </c>
      <c r="D8" s="67" t="s">
        <v>107</v>
      </c>
      <c r="E8" s="67" t="s">
        <v>108</v>
      </c>
      <c r="F8" s="84" t="s">
        <v>109</v>
      </c>
      <c r="G8" s="68" t="str">
        <f>$G$49</f>
        <v>1 п/годие 2024г</v>
      </c>
    </row>
    <row r="9" spans="1:9" ht="24" customHeight="1" thickTop="1" x14ac:dyDescent="0.3">
      <c r="A9" s="69">
        <v>1</v>
      </c>
      <c r="B9" s="79" t="s">
        <v>115</v>
      </c>
      <c r="C9" s="181"/>
      <c r="D9" s="85">
        <f>143905+35530</f>
        <v>179435</v>
      </c>
      <c r="E9" s="86">
        <f>174526+23230</f>
        <v>197756</v>
      </c>
      <c r="F9" s="87">
        <f>143905+35530</f>
        <v>179435</v>
      </c>
      <c r="G9" s="88">
        <f>21365+9330</f>
        <v>30695</v>
      </c>
    </row>
    <row r="10" spans="1:9" ht="33" customHeight="1" thickBot="1" x14ac:dyDescent="0.35">
      <c r="A10" s="70">
        <v>2</v>
      </c>
      <c r="B10" s="80" t="s">
        <v>150</v>
      </c>
      <c r="C10" s="182"/>
      <c r="D10" s="89">
        <v>306810.84000000003</v>
      </c>
      <c r="E10" s="90">
        <v>157673</v>
      </c>
      <c r="F10" s="91">
        <v>306810.84000000003</v>
      </c>
      <c r="G10" s="92">
        <v>455006</v>
      </c>
    </row>
    <row r="11" spans="1:9" s="38" customFormat="1" ht="25.8" customHeight="1" thickTop="1" thickBot="1" x14ac:dyDescent="0.35">
      <c r="A11" s="71"/>
      <c r="B11" s="81" t="s">
        <v>168</v>
      </c>
      <c r="C11" s="183"/>
      <c r="D11" s="94">
        <f>SUM(D9:D10)</f>
        <v>486245.84</v>
      </c>
      <c r="E11" s="95">
        <f>SUM(E9:E10)</f>
        <v>355429</v>
      </c>
      <c r="F11" s="96">
        <f>SUM(F9:F10)</f>
        <v>486245.84</v>
      </c>
      <c r="G11" s="97">
        <f>SUM(G9:G10)</f>
        <v>485701</v>
      </c>
    </row>
    <row r="12" spans="1:9" ht="32.4" customHeight="1" thickTop="1" x14ac:dyDescent="0.3">
      <c r="A12" s="70">
        <v>3</v>
      </c>
      <c r="B12" s="82" t="s">
        <v>110</v>
      </c>
      <c r="C12" s="184">
        <f>127367*3.006*12</f>
        <v>4594382.4239999996</v>
      </c>
      <c r="D12" s="98">
        <f>'приход 22-23'!B8</f>
        <v>2119901.5</v>
      </c>
      <c r="E12" s="99">
        <f>'приход 22-23'!B15</f>
        <v>2433674</v>
      </c>
      <c r="F12" s="100">
        <f>D12+E12</f>
        <v>4553575.5</v>
      </c>
      <c r="G12" s="101">
        <f>'приход 22-23'!B23</f>
        <v>2136050.44</v>
      </c>
    </row>
    <row r="13" spans="1:9" ht="27" customHeight="1" x14ac:dyDescent="0.3">
      <c r="A13" s="70">
        <v>4</v>
      </c>
      <c r="B13" s="83" t="s">
        <v>43</v>
      </c>
      <c r="C13" s="185"/>
      <c r="D13" s="102">
        <f>'приход 22-23'!E8</f>
        <v>10646</v>
      </c>
      <c r="E13" s="103">
        <f>'приход 22-23'!E15</f>
        <v>14172.84</v>
      </c>
      <c r="F13" s="104">
        <f t="shared" ref="F13:F15" si="0">D13+E13</f>
        <v>24818.84</v>
      </c>
      <c r="G13" s="105">
        <f>'приход 22-23'!E23</f>
        <v>16500</v>
      </c>
    </row>
    <row r="14" spans="1:9" ht="25.2" customHeight="1" x14ac:dyDescent="0.3">
      <c r="A14" s="70">
        <v>5</v>
      </c>
      <c r="B14" s="83" t="s">
        <v>111</v>
      </c>
      <c r="C14" s="185"/>
      <c r="D14" s="102">
        <f>'приход 22-23'!F8</f>
        <v>36444</v>
      </c>
      <c r="E14" s="103">
        <f>'приход 22-23'!F15</f>
        <v>3222</v>
      </c>
      <c r="F14" s="104">
        <f t="shared" si="0"/>
        <v>39666</v>
      </c>
      <c r="G14" s="105">
        <f>'приход 22-23'!F23</f>
        <v>3540</v>
      </c>
    </row>
    <row r="15" spans="1:9" ht="26.4" customHeight="1" thickBot="1" x14ac:dyDescent="0.35">
      <c r="A15" s="72">
        <v>6</v>
      </c>
      <c r="B15" s="80" t="s">
        <v>145</v>
      </c>
      <c r="C15" s="182"/>
      <c r="D15" s="89">
        <v>75977</v>
      </c>
      <c r="E15" s="90"/>
      <c r="F15" s="106">
        <f t="shared" si="0"/>
        <v>75977</v>
      </c>
      <c r="G15" s="92"/>
    </row>
    <row r="16" spans="1:9" s="38" customFormat="1" ht="22.2" customHeight="1" thickTop="1" thickBot="1" x14ac:dyDescent="0.35">
      <c r="A16" s="73"/>
      <c r="B16" s="219" t="s">
        <v>147</v>
      </c>
      <c r="C16" s="183">
        <v>4594382</v>
      </c>
      <c r="D16" s="110">
        <f>SUM(D12:D15)</f>
        <v>2242968.5</v>
      </c>
      <c r="E16" s="110">
        <f>SUM(E12:E15)</f>
        <v>2451068.84</v>
      </c>
      <c r="F16" s="220">
        <f>SUM(F12:F15)</f>
        <v>4694037.34</v>
      </c>
      <c r="G16" s="221">
        <f>SUM(G12:G15)</f>
        <v>2156090.44</v>
      </c>
      <c r="I16" s="116" t="s">
        <v>41</v>
      </c>
    </row>
    <row r="17" spans="1:9" s="38" customFormat="1" ht="30.6" customHeight="1" thickTop="1" thickBot="1" x14ac:dyDescent="0.35">
      <c r="A17" s="73"/>
      <c r="B17" s="219" t="s">
        <v>167</v>
      </c>
      <c r="C17" s="183"/>
      <c r="D17" s="110">
        <f>D11+D16</f>
        <v>2729214.34</v>
      </c>
      <c r="E17" s="110">
        <f>E11+E16</f>
        <v>2806497.84</v>
      </c>
      <c r="F17" s="96">
        <f>F11+F16</f>
        <v>5180283.18</v>
      </c>
      <c r="G17" s="221">
        <f>G11+G16</f>
        <v>2641791.44</v>
      </c>
    </row>
    <row r="18" spans="1:9" ht="17.399999999999999" x14ac:dyDescent="0.3">
      <c r="A18" s="161" t="s">
        <v>44</v>
      </c>
      <c r="B18" s="242" t="s">
        <v>164</v>
      </c>
      <c r="C18" s="243"/>
      <c r="D18" s="243"/>
      <c r="E18" s="243"/>
      <c r="F18" s="243"/>
      <c r="G18" s="244"/>
    </row>
    <row r="19" spans="1:9" ht="16.8" thickTop="1" thickBot="1" x14ac:dyDescent="0.35">
      <c r="A19" s="75">
        <v>1</v>
      </c>
      <c r="B19" s="77" t="s">
        <v>146</v>
      </c>
      <c r="C19" s="183">
        <f>SUM(C20:C24)</f>
        <v>1450300</v>
      </c>
      <c r="D19" s="107">
        <f>SUM(D20:D24)</f>
        <v>614295</v>
      </c>
      <c r="E19" s="107">
        <f>SUM(E20:E24)</f>
        <v>778355</v>
      </c>
      <c r="F19" s="108">
        <f>SUM(D19:E19)</f>
        <v>1392650</v>
      </c>
      <c r="G19" s="109">
        <f>SUM(G20:G24)</f>
        <v>703432</v>
      </c>
    </row>
    <row r="20" spans="1:9" ht="18" customHeight="1" thickTop="1" x14ac:dyDescent="0.25">
      <c r="A20" s="69" t="s">
        <v>41</v>
      </c>
      <c r="B20" s="151" t="s">
        <v>45</v>
      </c>
      <c r="C20" s="186">
        <v>240120</v>
      </c>
      <c r="D20" s="136">
        <f>20010*6</f>
        <v>120060</v>
      </c>
      <c r="E20" s="137">
        <f>20010*6</f>
        <v>120060</v>
      </c>
      <c r="F20" s="152">
        <f t="shared" ref="F20:F46" si="1">SUM(D20:E20)</f>
        <v>240120</v>
      </c>
      <c r="G20" s="139">
        <v>120060</v>
      </c>
      <c r="I20" s="60"/>
    </row>
    <row r="21" spans="1:9" ht="28.8" customHeight="1" x14ac:dyDescent="0.25">
      <c r="A21" s="70"/>
      <c r="B21" s="153" t="s">
        <v>46</v>
      </c>
      <c r="C21" s="187">
        <v>240120</v>
      </c>
      <c r="D21" s="141">
        <f>20010*5</f>
        <v>100050</v>
      </c>
      <c r="E21" s="142">
        <f>20010*7</f>
        <v>140070</v>
      </c>
      <c r="F21" s="143">
        <f t="shared" si="1"/>
        <v>240120</v>
      </c>
      <c r="G21" s="144">
        <v>120060</v>
      </c>
      <c r="H21" s="60"/>
    </row>
    <row r="22" spans="1:9" ht="17.399999999999999" customHeight="1" x14ac:dyDescent="0.25">
      <c r="A22" s="70"/>
      <c r="B22" s="153" t="s">
        <v>155</v>
      </c>
      <c r="C22" s="187">
        <v>120000</v>
      </c>
      <c r="D22" s="141" t="s">
        <v>156</v>
      </c>
      <c r="E22" s="142">
        <v>60000</v>
      </c>
      <c r="F22" s="143">
        <v>120000</v>
      </c>
      <c r="G22" s="144">
        <v>60000</v>
      </c>
      <c r="H22" s="60"/>
    </row>
    <row r="23" spans="1:9" x14ac:dyDescent="0.25">
      <c r="A23" s="70" t="s">
        <v>41</v>
      </c>
      <c r="B23" s="153" t="s">
        <v>47</v>
      </c>
      <c r="C23" s="187">
        <v>730000</v>
      </c>
      <c r="D23" s="141">
        <f>238110+20010*5+6000</f>
        <v>344160</v>
      </c>
      <c r="E23" s="142">
        <f>240120+20010*7+8000</f>
        <v>388190</v>
      </c>
      <c r="F23" s="143">
        <f t="shared" si="1"/>
        <v>732350</v>
      </c>
      <c r="G23" s="144">
        <f>199212+20010*5+2000+40020+2000</f>
        <v>343282</v>
      </c>
    </row>
    <row r="24" spans="1:9" ht="15.6" thickBot="1" x14ac:dyDescent="0.3">
      <c r="A24" s="78"/>
      <c r="B24" s="154" t="s">
        <v>48</v>
      </c>
      <c r="C24" s="188">
        <v>120060</v>
      </c>
      <c r="D24" s="155">
        <f>10005*5</f>
        <v>50025</v>
      </c>
      <c r="E24" s="156">
        <f>10005*7</f>
        <v>70035</v>
      </c>
      <c r="F24" s="157">
        <f t="shared" si="1"/>
        <v>120060</v>
      </c>
      <c r="G24" s="158">
        <v>60030</v>
      </c>
    </row>
    <row r="25" spans="1:9" ht="19.2" customHeight="1" thickTop="1" thickBot="1" x14ac:dyDescent="0.35">
      <c r="A25" s="73">
        <v>2</v>
      </c>
      <c r="B25" s="74" t="s">
        <v>49</v>
      </c>
      <c r="C25" s="189">
        <v>599953</v>
      </c>
      <c r="D25" s="110">
        <v>282155.07</v>
      </c>
      <c r="E25" s="111">
        <v>200894.76</v>
      </c>
      <c r="F25" s="108">
        <f t="shared" si="1"/>
        <v>483049.83</v>
      </c>
      <c r="G25" s="97">
        <v>336281</v>
      </c>
    </row>
    <row r="26" spans="1:9" s="38" customFormat="1" ht="16.8" thickTop="1" thickBot="1" x14ac:dyDescent="0.35">
      <c r="A26" s="73">
        <v>3</v>
      </c>
      <c r="B26" s="74" t="s">
        <v>132</v>
      </c>
      <c r="C26" s="189">
        <v>44735</v>
      </c>
      <c r="D26" s="110">
        <v>0</v>
      </c>
      <c r="E26" s="111">
        <v>0</v>
      </c>
      <c r="F26" s="108">
        <v>0</v>
      </c>
      <c r="G26" s="97">
        <v>0</v>
      </c>
    </row>
    <row r="27" spans="1:9" ht="16.8" thickTop="1" thickBot="1" x14ac:dyDescent="0.35">
      <c r="A27" s="75">
        <v>4</v>
      </c>
      <c r="B27" s="76" t="s">
        <v>50</v>
      </c>
      <c r="C27" s="183">
        <v>36000</v>
      </c>
      <c r="D27" s="107">
        <v>11138.36</v>
      </c>
      <c r="E27" s="112">
        <v>11586.46</v>
      </c>
      <c r="F27" s="108">
        <f t="shared" si="1"/>
        <v>22724.82</v>
      </c>
      <c r="G27" s="113">
        <v>8224</v>
      </c>
    </row>
    <row r="28" spans="1:9" ht="19.8" customHeight="1" thickTop="1" thickBot="1" x14ac:dyDescent="0.35">
      <c r="A28" s="75">
        <v>5</v>
      </c>
      <c r="B28" s="77" t="s">
        <v>51</v>
      </c>
      <c r="C28" s="190">
        <f>SUM(C29:C35)</f>
        <v>2135984</v>
      </c>
      <c r="D28" s="107">
        <f>SUM(D29:D35)</f>
        <v>648360.64</v>
      </c>
      <c r="E28" s="112">
        <f>SUM(E29:E35)</f>
        <v>956567.4</v>
      </c>
      <c r="F28" s="108">
        <f t="shared" si="1"/>
        <v>1604928.04</v>
      </c>
      <c r="G28" s="113">
        <f>SUM(G29:G35)</f>
        <v>844010</v>
      </c>
    </row>
    <row r="29" spans="1:9" ht="35.4" customHeight="1" thickTop="1" x14ac:dyDescent="0.25">
      <c r="A29" s="69"/>
      <c r="B29" s="135" t="s">
        <v>52</v>
      </c>
      <c r="C29" s="186">
        <v>200000</v>
      </c>
      <c r="D29" s="136">
        <v>22000</v>
      </c>
      <c r="E29" s="137">
        <v>1883.5</v>
      </c>
      <c r="F29" s="138">
        <f t="shared" si="1"/>
        <v>23883.5</v>
      </c>
      <c r="G29" s="139">
        <v>25000</v>
      </c>
    </row>
    <row r="30" spans="1:9" ht="19.2" customHeight="1" x14ac:dyDescent="0.25">
      <c r="A30" s="70"/>
      <c r="B30" s="140" t="s">
        <v>53</v>
      </c>
      <c r="C30" s="187">
        <v>507800</v>
      </c>
      <c r="D30" s="141">
        <v>191800</v>
      </c>
      <c r="E30" s="142">
        <f>254413-19213+39200</f>
        <v>274400</v>
      </c>
      <c r="F30" s="143">
        <f t="shared" si="1"/>
        <v>466200</v>
      </c>
      <c r="G30" s="144">
        <v>274400</v>
      </c>
    </row>
    <row r="31" spans="1:9" ht="19.2" customHeight="1" x14ac:dyDescent="0.25">
      <c r="A31" s="70" t="s">
        <v>41</v>
      </c>
      <c r="B31" s="140" t="s">
        <v>3</v>
      </c>
      <c r="C31" s="187">
        <v>750000</v>
      </c>
      <c r="D31" s="141">
        <v>310074.64</v>
      </c>
      <c r="E31" s="142">
        <v>492584.9</v>
      </c>
      <c r="F31" s="143">
        <f t="shared" si="1"/>
        <v>802659.54</v>
      </c>
      <c r="G31" s="144">
        <v>385460</v>
      </c>
    </row>
    <row r="32" spans="1:9" ht="19.2" customHeight="1" x14ac:dyDescent="0.25">
      <c r="A32" s="70" t="s">
        <v>41</v>
      </c>
      <c r="B32" s="140" t="s">
        <v>54</v>
      </c>
      <c r="C32" s="187">
        <v>250000</v>
      </c>
      <c r="D32" s="141"/>
      <c r="E32" s="142"/>
      <c r="F32" s="143">
        <f t="shared" si="1"/>
        <v>0</v>
      </c>
      <c r="G32" s="144">
        <v>83583</v>
      </c>
    </row>
    <row r="33" spans="1:58" ht="19.8" customHeight="1" x14ac:dyDescent="0.25">
      <c r="A33" s="70" t="s">
        <v>41</v>
      </c>
      <c r="B33" s="140" t="s">
        <v>55</v>
      </c>
      <c r="C33" s="187">
        <v>300000</v>
      </c>
      <c r="D33" s="141">
        <v>72000</v>
      </c>
      <c r="E33" s="142">
        <f>78000+34000</f>
        <v>112000</v>
      </c>
      <c r="F33" s="143">
        <f t="shared" si="1"/>
        <v>184000</v>
      </c>
      <c r="G33" s="144">
        <v>14000</v>
      </c>
    </row>
    <row r="34" spans="1:58" ht="33" customHeight="1" x14ac:dyDescent="0.3">
      <c r="A34" s="70" t="s">
        <v>41</v>
      </c>
      <c r="B34" s="140" t="s">
        <v>56</v>
      </c>
      <c r="C34" s="187">
        <v>19213</v>
      </c>
      <c r="D34" s="127"/>
      <c r="E34" s="128">
        <v>19213</v>
      </c>
      <c r="F34" s="143">
        <f t="shared" si="1"/>
        <v>19213</v>
      </c>
      <c r="G34" s="145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</row>
    <row r="35" spans="1:58" ht="16.2" customHeight="1" thickBot="1" x14ac:dyDescent="0.35">
      <c r="A35" s="78"/>
      <c r="B35" s="146" t="s">
        <v>57</v>
      </c>
      <c r="C35" s="191">
        <v>108971</v>
      </c>
      <c r="D35" s="147">
        <v>52486</v>
      </c>
      <c r="E35" s="148">
        <v>56486</v>
      </c>
      <c r="F35" s="149">
        <f t="shared" si="1"/>
        <v>108972</v>
      </c>
      <c r="G35" s="150">
        <v>61567</v>
      </c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</row>
    <row r="36" spans="1:58" ht="16.2" thickTop="1" x14ac:dyDescent="0.3">
      <c r="A36" s="123">
        <v>6</v>
      </c>
      <c r="B36" s="230" t="s">
        <v>58</v>
      </c>
      <c r="C36" s="231">
        <v>327900</v>
      </c>
      <c r="D36" s="232">
        <f>SUM(D37:D44)</f>
        <v>140929</v>
      </c>
      <c r="E36" s="233">
        <f>SUM(E37:E44)</f>
        <v>221371</v>
      </c>
      <c r="F36" s="234">
        <v>362300</v>
      </c>
      <c r="G36" s="238">
        <f>SUM(G37:G44)</f>
        <v>121658</v>
      </c>
      <c r="H36" s="56"/>
      <c r="I36" s="239" t="s">
        <v>41</v>
      </c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</row>
    <row r="37" spans="1:58" ht="15.6" x14ac:dyDescent="0.3">
      <c r="A37" s="125"/>
      <c r="B37" s="235" t="s">
        <v>169</v>
      </c>
      <c r="C37" s="192"/>
      <c r="D37" s="127">
        <v>2250</v>
      </c>
      <c r="E37" s="128">
        <v>2250</v>
      </c>
      <c r="F37" s="129">
        <v>5500</v>
      </c>
      <c r="G37" s="145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</row>
    <row r="38" spans="1:58" ht="15.6" x14ac:dyDescent="0.3">
      <c r="A38" s="125"/>
      <c r="B38" s="235" t="s">
        <v>171</v>
      </c>
      <c r="C38" s="192"/>
      <c r="D38" s="127">
        <v>23500</v>
      </c>
      <c r="E38" s="128"/>
      <c r="F38" s="129"/>
      <c r="G38" s="145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</row>
    <row r="39" spans="1:58" ht="60.6" customHeight="1" x14ac:dyDescent="0.3">
      <c r="A39" s="124"/>
      <c r="B39" s="236" t="s">
        <v>166</v>
      </c>
      <c r="C39" s="192"/>
      <c r="D39" s="127">
        <v>23179</v>
      </c>
      <c r="E39" s="128">
        <v>75121</v>
      </c>
      <c r="F39" s="129">
        <v>98300</v>
      </c>
      <c r="G39" s="159">
        <v>23658</v>
      </c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</row>
    <row r="40" spans="1:58" ht="19.8" customHeight="1" x14ac:dyDescent="0.3">
      <c r="A40" s="125"/>
      <c r="B40" s="235" t="s">
        <v>112</v>
      </c>
      <c r="C40" s="192"/>
      <c r="D40" s="127">
        <v>15000</v>
      </c>
      <c r="E40" s="128">
        <v>21000</v>
      </c>
      <c r="F40" s="129">
        <v>36000</v>
      </c>
      <c r="G40" s="159">
        <v>12000</v>
      </c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</row>
    <row r="41" spans="1:58" ht="32.4" customHeight="1" x14ac:dyDescent="0.3">
      <c r="A41" s="125"/>
      <c r="B41" s="235" t="s">
        <v>159</v>
      </c>
      <c r="C41" s="192"/>
      <c r="D41" s="127">
        <v>75500</v>
      </c>
      <c r="E41" s="128">
        <v>93000</v>
      </c>
      <c r="F41" s="129">
        <v>168500</v>
      </c>
      <c r="G41" s="159">
        <v>86000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</row>
    <row r="42" spans="1:58" ht="34.200000000000003" customHeight="1" x14ac:dyDescent="0.3">
      <c r="A42" s="125"/>
      <c r="B42" s="235" t="s">
        <v>160</v>
      </c>
      <c r="C42" s="192"/>
      <c r="D42" s="127">
        <v>1500</v>
      </c>
      <c r="E42" s="130"/>
      <c r="F42" s="129">
        <v>1500</v>
      </c>
      <c r="G42" s="145" t="s">
        <v>41</v>
      </c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</row>
    <row r="43" spans="1:58" ht="19.2" customHeight="1" x14ac:dyDescent="0.3">
      <c r="A43" s="125"/>
      <c r="B43" s="235" t="s">
        <v>157</v>
      </c>
      <c r="C43" s="192"/>
      <c r="D43" s="131"/>
      <c r="E43" s="128">
        <v>20000</v>
      </c>
      <c r="F43" s="129">
        <v>20000</v>
      </c>
      <c r="G43" s="145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</row>
    <row r="44" spans="1:58" ht="19.2" customHeight="1" thickBot="1" x14ac:dyDescent="0.35">
      <c r="A44" s="126"/>
      <c r="B44" s="237" t="s">
        <v>158</v>
      </c>
      <c r="C44" s="193"/>
      <c r="D44" s="132"/>
      <c r="E44" s="133">
        <v>10000</v>
      </c>
      <c r="F44" s="134">
        <v>10000</v>
      </c>
      <c r="G44" s="160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</row>
    <row r="45" spans="1:58" ht="16.8" thickTop="1" thickBot="1" x14ac:dyDescent="0.35">
      <c r="A45" s="118">
        <v>9</v>
      </c>
      <c r="B45" s="119" t="s">
        <v>144</v>
      </c>
      <c r="C45" s="190"/>
      <c r="D45" s="120"/>
      <c r="E45" s="117">
        <v>50000</v>
      </c>
      <c r="F45" s="121">
        <f t="shared" ref="F45" si="2">SUM(D45:E45)</f>
        <v>50000</v>
      </c>
      <c r="G45" s="122">
        <v>26800</v>
      </c>
    </row>
    <row r="46" spans="1:58" ht="16.8" thickTop="1" thickBot="1" x14ac:dyDescent="0.35">
      <c r="A46" s="75"/>
      <c r="B46" s="77" t="s">
        <v>59</v>
      </c>
      <c r="C46" s="183">
        <f>C19+C25+C26+C27+C28+C36</f>
        <v>4594872</v>
      </c>
      <c r="D46" s="93">
        <f>SUM(D19+D25+D26+D27+D28+D36)</f>
        <v>1696878.07</v>
      </c>
      <c r="E46" s="93">
        <f>E19+E25+E26+E27+E28+E36+ E45</f>
        <v>2218774.62</v>
      </c>
      <c r="F46" s="108">
        <f t="shared" si="1"/>
        <v>3915652.6900000004</v>
      </c>
      <c r="G46" s="114">
        <f>G19+G25+G27+G28+G36+G45</f>
        <v>2040405</v>
      </c>
      <c r="H46" s="25" t="s">
        <v>41</v>
      </c>
      <c r="I46" s="60" t="s">
        <v>41</v>
      </c>
    </row>
    <row r="47" spans="1:58" ht="32.4" thickTop="1" thickBot="1" x14ac:dyDescent="0.35">
      <c r="A47" s="75"/>
      <c r="B47" s="77" t="s">
        <v>113</v>
      </c>
      <c r="C47" s="183"/>
      <c r="D47" s="93">
        <f>D17-D46</f>
        <v>1032336.2699999998</v>
      </c>
      <c r="E47" s="93">
        <f>E17-E46</f>
        <v>587723.21999999974</v>
      </c>
      <c r="F47" s="115">
        <f>F17-F46</f>
        <v>1264630.4899999993</v>
      </c>
      <c r="G47" s="114">
        <f>G17-G46</f>
        <v>601386.43999999994</v>
      </c>
      <c r="H47" s="66"/>
      <c r="I47" s="60"/>
    </row>
    <row r="48" spans="1:58" ht="16.2" thickTop="1" thickBot="1" x14ac:dyDescent="0.3"/>
    <row r="49" spans="1:7" ht="24" customHeight="1" thickTop="1" x14ac:dyDescent="0.3">
      <c r="A49" s="174"/>
      <c r="B49" s="175" t="s">
        <v>5</v>
      </c>
      <c r="C49" s="252" t="s">
        <v>170</v>
      </c>
      <c r="D49" s="240" t="s">
        <v>161</v>
      </c>
      <c r="E49" s="248" t="s">
        <v>162</v>
      </c>
      <c r="F49" s="176" t="s">
        <v>135</v>
      </c>
      <c r="G49" s="250" t="s">
        <v>163</v>
      </c>
    </row>
    <row r="50" spans="1:7" ht="16.2" thickBot="1" x14ac:dyDescent="0.35">
      <c r="A50" s="177"/>
      <c r="B50" s="178"/>
      <c r="C50" s="253"/>
      <c r="D50" s="241"/>
      <c r="E50" s="249"/>
      <c r="F50" s="179"/>
      <c r="G50" s="251"/>
    </row>
    <row r="51" spans="1:7" ht="28.2" thickTop="1" x14ac:dyDescent="0.25">
      <c r="A51" s="214" t="s">
        <v>141</v>
      </c>
      <c r="B51" s="210" t="s">
        <v>136</v>
      </c>
      <c r="C51" s="172"/>
      <c r="D51" s="173">
        <v>336316.5</v>
      </c>
      <c r="E51" s="195"/>
      <c r="F51" s="200">
        <f>SUM(D51:E51)</f>
        <v>336316.5</v>
      </c>
      <c r="G51" s="206"/>
    </row>
    <row r="52" spans="1:7" x14ac:dyDescent="0.25">
      <c r="A52" s="215" t="s">
        <v>142</v>
      </c>
      <c r="B52" s="211" t="s">
        <v>137</v>
      </c>
      <c r="C52" s="163"/>
      <c r="D52" s="164">
        <v>786523.5</v>
      </c>
      <c r="E52" s="196">
        <v>366403.5</v>
      </c>
      <c r="F52" s="201">
        <f t="shared" ref="F52:F55" si="3">SUM(D52:E52)</f>
        <v>1152927</v>
      </c>
      <c r="G52" s="207">
        <v>285298.2</v>
      </c>
    </row>
    <row r="53" spans="1:7" ht="15.6" x14ac:dyDescent="0.3">
      <c r="A53" s="216" t="s">
        <v>143</v>
      </c>
      <c r="B53" s="212" t="s">
        <v>148</v>
      </c>
      <c r="C53" s="165"/>
      <c r="D53" s="166">
        <f>SUM(D51:D52)</f>
        <v>1122840</v>
      </c>
      <c r="E53" s="197">
        <f t="shared" ref="E53:G53" si="4">SUM(E51:E52)</f>
        <v>366403.5</v>
      </c>
      <c r="F53" s="202">
        <f t="shared" si="4"/>
        <v>1489243.5</v>
      </c>
      <c r="G53" s="202">
        <f t="shared" si="4"/>
        <v>285298.2</v>
      </c>
    </row>
    <row r="54" spans="1:7" ht="31.8" customHeight="1" x14ac:dyDescent="0.25">
      <c r="A54" s="217">
        <v>2</v>
      </c>
      <c r="B54" s="211" t="s">
        <v>138</v>
      </c>
      <c r="C54" s="163"/>
      <c r="D54" s="164">
        <v>308784</v>
      </c>
      <c r="E54" s="198">
        <v>113486</v>
      </c>
      <c r="F54" s="201">
        <f t="shared" si="3"/>
        <v>422270</v>
      </c>
      <c r="G54" s="208">
        <v>33504.5</v>
      </c>
    </row>
    <row r="55" spans="1:7" ht="42" thickBot="1" x14ac:dyDescent="0.3">
      <c r="A55" s="218">
        <v>3</v>
      </c>
      <c r="B55" s="213" t="s">
        <v>139</v>
      </c>
      <c r="C55" s="194">
        <v>321000</v>
      </c>
      <c r="D55" s="167">
        <f>166899</f>
        <v>166899</v>
      </c>
      <c r="E55" s="199">
        <f>158646</f>
        <v>158646</v>
      </c>
      <c r="F55" s="203">
        <f t="shared" si="3"/>
        <v>325545</v>
      </c>
      <c r="G55" s="209">
        <f>'приход 22-23'!D23</f>
        <v>169934.46</v>
      </c>
    </row>
    <row r="56" spans="1:7" ht="16.8" thickTop="1" thickBot="1" x14ac:dyDescent="0.35">
      <c r="A56" s="168"/>
      <c r="B56" s="169" t="s">
        <v>149</v>
      </c>
      <c r="C56" s="222" t="s">
        <v>41</v>
      </c>
      <c r="D56" s="170">
        <f>SUM(D54:D55)</f>
        <v>475683</v>
      </c>
      <c r="E56" s="171">
        <f t="shared" ref="E56:G56" si="5">SUM(E54:E55)</f>
        <v>272132</v>
      </c>
      <c r="F56" s="205">
        <f t="shared" si="5"/>
        <v>747815</v>
      </c>
      <c r="G56" s="204">
        <f t="shared" si="5"/>
        <v>203438.96</v>
      </c>
    </row>
    <row r="57" spans="1:7" s="38" customFormat="1" ht="32.4" thickTop="1" thickBot="1" x14ac:dyDescent="0.35">
      <c r="A57" s="223">
        <v>4</v>
      </c>
      <c r="B57" s="224" t="s">
        <v>140</v>
      </c>
      <c r="C57" s="225"/>
      <c r="D57" s="226">
        <f>D53-D54-D55</f>
        <v>647157</v>
      </c>
      <c r="E57" s="227">
        <f t="shared" ref="E57:G57" si="6">E53-E54-E55</f>
        <v>94271.5</v>
      </c>
      <c r="F57" s="228">
        <f t="shared" si="6"/>
        <v>741428.5</v>
      </c>
      <c r="G57" s="229">
        <f t="shared" si="6"/>
        <v>81859.24000000002</v>
      </c>
    </row>
    <row r="58" spans="1:7" ht="15.6" thickTop="1" x14ac:dyDescent="0.25"/>
  </sheetData>
  <mergeCells count="10">
    <mergeCell ref="D49:D50"/>
    <mergeCell ref="B18:G18"/>
    <mergeCell ref="B1:G1"/>
    <mergeCell ref="B3:G3"/>
    <mergeCell ref="B4:G4"/>
    <mergeCell ref="B6:G6"/>
    <mergeCell ref="E49:E50"/>
    <mergeCell ref="G49:G50"/>
    <mergeCell ref="C49:C50"/>
    <mergeCell ref="B2:G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topLeftCell="A10" workbookViewId="0">
      <selection activeCell="C23" sqref="C23"/>
    </sheetView>
  </sheetViews>
  <sheetFormatPr defaultRowHeight="13.2" x14ac:dyDescent="0.25"/>
  <cols>
    <col min="1" max="1" width="20.109375" customWidth="1"/>
    <col min="2" max="2" width="10.77734375" customWidth="1"/>
    <col min="3" max="3" width="10.44140625" customWidth="1"/>
    <col min="4" max="4" width="10.77734375" customWidth="1"/>
    <col min="5" max="6" width="11.5546875" customWidth="1"/>
    <col min="7" max="7" width="10.5546875" customWidth="1"/>
  </cols>
  <sheetData>
    <row r="1" spans="1:7" x14ac:dyDescent="0.25">
      <c r="A1" s="11" t="s">
        <v>89</v>
      </c>
      <c r="B1" s="12" t="s">
        <v>77</v>
      </c>
      <c r="C1" s="12" t="s">
        <v>100</v>
      </c>
      <c r="D1" s="12" t="s">
        <v>78</v>
      </c>
      <c r="E1" s="12" t="s">
        <v>79</v>
      </c>
      <c r="F1" s="12" t="s">
        <v>88</v>
      </c>
      <c r="G1" s="13" t="s">
        <v>72</v>
      </c>
    </row>
    <row r="2" spans="1:7" x14ac:dyDescent="0.25">
      <c r="A2" s="9" t="s">
        <v>60</v>
      </c>
      <c r="B2" s="8">
        <f>180436+24645+77271+11760+62190</f>
        <v>356302</v>
      </c>
      <c r="C2" s="8">
        <f>5852.2+3011+3871+1650+15984</f>
        <v>30368.2</v>
      </c>
      <c r="D2" s="8">
        <f>12150+3250+5000+1000+1000</f>
        <v>22400</v>
      </c>
      <c r="E2" s="8">
        <f>200+100+100+200</f>
        <v>600</v>
      </c>
      <c r="F2" s="8">
        <f>1387+5250</f>
        <v>6637</v>
      </c>
      <c r="G2" s="10">
        <f t="shared" ref="G2:G14" si="0">SUM(B2:F2)</f>
        <v>416307.20000000001</v>
      </c>
    </row>
    <row r="3" spans="1:7" x14ac:dyDescent="0.25">
      <c r="A3" s="9" t="s">
        <v>61</v>
      </c>
      <c r="B3" s="8">
        <f>132135.5+31545+12006+57846+28188</f>
        <v>261720.5</v>
      </c>
      <c r="C3" s="8">
        <f>14231.66+16385+400+14957+26519</f>
        <v>72492.66</v>
      </c>
      <c r="D3" s="8">
        <f>12250+2000+1250+3500+2984</f>
        <v>21984</v>
      </c>
      <c r="E3" s="8">
        <f>400+200+100+4300</f>
        <v>5000</v>
      </c>
      <c r="F3" s="8">
        <v>1946</v>
      </c>
      <c r="G3" s="10">
        <f t="shared" si="0"/>
        <v>363143.16000000003</v>
      </c>
    </row>
    <row r="4" spans="1:7" x14ac:dyDescent="0.25">
      <c r="A4" s="9" t="s">
        <v>62</v>
      </c>
      <c r="B4" s="8">
        <f>48732+10107+73101+300834</f>
        <v>432774</v>
      </c>
      <c r="C4" s="8">
        <f>7333+1511.34+32814</f>
        <v>41658.339999999997</v>
      </c>
      <c r="D4" s="8">
        <f>1250+500+4750+24701</f>
        <v>31201</v>
      </c>
      <c r="E4" s="8">
        <f>400+1050</f>
        <v>1450</v>
      </c>
      <c r="F4" s="8">
        <v>2379</v>
      </c>
      <c r="G4" s="10">
        <f t="shared" si="0"/>
        <v>509462.33999999997</v>
      </c>
    </row>
    <row r="5" spans="1:7" x14ac:dyDescent="0.25">
      <c r="A5" s="9" t="s">
        <v>63</v>
      </c>
      <c r="B5" s="8">
        <f>218247+41559+40842+38499+106377+49680</f>
        <v>495204</v>
      </c>
      <c r="C5" s="8">
        <f>44412+18191+6053+4559+22719+1750</f>
        <v>97684</v>
      </c>
      <c r="D5" s="8">
        <f>19050+6500+2516+5750+9250+3250</f>
        <v>46316</v>
      </c>
      <c r="E5" s="8">
        <f>100+100+500</f>
        <v>700</v>
      </c>
      <c r="F5" s="8">
        <f>5726</f>
        <v>5726</v>
      </c>
      <c r="G5" s="10">
        <f t="shared" si="0"/>
        <v>645630</v>
      </c>
    </row>
    <row r="6" spans="1:7" x14ac:dyDescent="0.25">
      <c r="A6" s="9" t="s">
        <v>64</v>
      </c>
      <c r="B6" s="8">
        <f>238703+11115+75048+38553+7500</f>
        <v>370919</v>
      </c>
      <c r="C6" s="8">
        <f>18129+7241+17431+13455+1575</f>
        <v>57831</v>
      </c>
      <c r="D6" s="8">
        <f>15851+4250+2250+750+7500</f>
        <v>30601</v>
      </c>
      <c r="E6" s="8">
        <f>1496+100+300</f>
        <v>1896</v>
      </c>
      <c r="F6" s="8">
        <f>17396</f>
        <v>17396</v>
      </c>
      <c r="G6" s="10">
        <f t="shared" si="0"/>
        <v>478643</v>
      </c>
    </row>
    <row r="7" spans="1:7" x14ac:dyDescent="0.25">
      <c r="A7" s="9" t="s">
        <v>65</v>
      </c>
      <c r="B7" s="8">
        <f>124763+24132+12195+41892</f>
        <v>202982</v>
      </c>
      <c r="C7" s="8">
        <f>2000+6750</f>
        <v>8750</v>
      </c>
      <c r="D7" s="8">
        <f>9647+1500+750+2500</f>
        <v>14397</v>
      </c>
      <c r="E7" s="8">
        <f>500+200+300</f>
        <v>1000</v>
      </c>
      <c r="F7" s="8">
        <f>2360</f>
        <v>2360</v>
      </c>
      <c r="G7" s="10">
        <f t="shared" si="0"/>
        <v>229489</v>
      </c>
    </row>
    <row r="8" spans="1:7" s="1" customFormat="1" x14ac:dyDescent="0.25">
      <c r="A8" s="14" t="s">
        <v>73</v>
      </c>
      <c r="B8" s="15">
        <f>SUM(B2:B7)</f>
        <v>2119901.5</v>
      </c>
      <c r="C8" s="15">
        <f t="shared" ref="C8:G8" si="1">SUM(C2:C7)</f>
        <v>308784.2</v>
      </c>
      <c r="D8" s="15">
        <f>SUM(D2:D7)</f>
        <v>166899</v>
      </c>
      <c r="E8" s="15">
        <f t="shared" si="1"/>
        <v>10646</v>
      </c>
      <c r="F8" s="15">
        <f t="shared" si="1"/>
        <v>36444</v>
      </c>
      <c r="G8" s="16">
        <f t="shared" si="1"/>
        <v>2642674.7000000002</v>
      </c>
    </row>
    <row r="9" spans="1:7" x14ac:dyDescent="0.25">
      <c r="A9" s="9" t="s">
        <v>66</v>
      </c>
      <c r="B9" s="8">
        <f>242326+53728+50241+47562+8838+33999</f>
        <v>436694</v>
      </c>
      <c r="C9" s="8">
        <f>0+18431+14684+824</f>
        <v>33939</v>
      </c>
      <c r="D9" s="8">
        <f>16750+3500+3250+3500+750+1750</f>
        <v>29500</v>
      </c>
      <c r="E9" s="8">
        <f>300+1800+1000+100+600</f>
        <v>3800</v>
      </c>
      <c r="F9" s="8"/>
      <c r="G9" s="10">
        <f t="shared" si="0"/>
        <v>503933</v>
      </c>
    </row>
    <row r="10" spans="1:7" x14ac:dyDescent="0.25">
      <c r="A10" s="9" t="s">
        <v>67</v>
      </c>
      <c r="B10" s="8">
        <f>232019+50409+68216+5658+90024</f>
        <v>446326</v>
      </c>
      <c r="C10" s="8">
        <f>12415.5+6327+4558+549+10800</f>
        <v>34649.5</v>
      </c>
      <c r="D10" s="8">
        <f>18300+1500+4000+500+6250</f>
        <v>30550</v>
      </c>
      <c r="E10" s="8">
        <f>400+1000+200+100</f>
        <v>1700</v>
      </c>
      <c r="F10" s="8">
        <f>3222</f>
        <v>3222</v>
      </c>
      <c r="G10" s="10">
        <f t="shared" si="0"/>
        <v>516447.5</v>
      </c>
    </row>
    <row r="11" spans="1:7" x14ac:dyDescent="0.25">
      <c r="A11" s="9" t="s">
        <v>68</v>
      </c>
      <c r="B11" s="8">
        <f>199831+21477+61485+83601+7500</f>
        <v>373894</v>
      </c>
      <c r="C11" s="8">
        <f>4743+5063+5777+1683</f>
        <v>17266</v>
      </c>
      <c r="D11" s="8">
        <f>14250+1500+4250+5250</f>
        <v>25250</v>
      </c>
      <c r="E11" s="8">
        <f>900+100+100+100</f>
        <v>1200</v>
      </c>
      <c r="F11" s="8"/>
      <c r="G11" s="10">
        <f t="shared" si="0"/>
        <v>417610</v>
      </c>
    </row>
    <row r="12" spans="1:7" x14ac:dyDescent="0.25">
      <c r="A12" s="9" t="s">
        <v>69</v>
      </c>
      <c r="B12" s="8">
        <f>158109+23535+19659+23784+30771+25989</f>
        <v>281847</v>
      </c>
      <c r="C12" s="8">
        <f>0+6237+9500</f>
        <v>15737</v>
      </c>
      <c r="D12" s="8">
        <f>10714+1500+1250+2000+2000+2750</f>
        <v>20214</v>
      </c>
      <c r="E12" s="8">
        <f>600+800+800</f>
        <v>2200</v>
      </c>
      <c r="F12" s="8"/>
      <c r="G12" s="10">
        <f t="shared" si="0"/>
        <v>319998</v>
      </c>
    </row>
    <row r="13" spans="1:7" x14ac:dyDescent="0.25">
      <c r="A13" s="9" t="s">
        <v>70</v>
      </c>
      <c r="B13" s="8">
        <f>133631+31251+56121+24237</f>
        <v>245240</v>
      </c>
      <c r="C13" s="8">
        <f>1410+1287+3497</f>
        <v>6194</v>
      </c>
      <c r="D13" s="8">
        <f>7241+2250+4500+1750</f>
        <v>15741</v>
      </c>
      <c r="E13" s="8">
        <v>1300</v>
      </c>
      <c r="F13" s="8"/>
      <c r="G13" s="10">
        <f t="shared" si="0"/>
        <v>268475</v>
      </c>
    </row>
    <row r="14" spans="1:7" x14ac:dyDescent="0.25">
      <c r="A14" s="9" t="s">
        <v>71</v>
      </c>
      <c r="B14" s="8">
        <f>435256+11286+33093+57388+112650</f>
        <v>649673</v>
      </c>
      <c r="C14" s="8">
        <f>4950+750</f>
        <v>5700</v>
      </c>
      <c r="D14" s="8">
        <f>29141+2000+2000+4250</f>
        <v>37391</v>
      </c>
      <c r="E14" s="8">
        <f>3472.84+100+100+100+200</f>
        <v>3972.84</v>
      </c>
      <c r="F14" s="8"/>
      <c r="G14" s="10">
        <f t="shared" si="0"/>
        <v>696736.84</v>
      </c>
    </row>
    <row r="15" spans="1:7" s="1" customFormat="1" x14ac:dyDescent="0.25">
      <c r="A15" s="14" t="s">
        <v>74</v>
      </c>
      <c r="B15" s="15">
        <f>SUM(B9:B14)</f>
        <v>2433674</v>
      </c>
      <c r="C15" s="15">
        <f t="shared" ref="C15" si="2">SUM(C9:C14)</f>
        <v>113485.5</v>
      </c>
      <c r="D15" s="15">
        <f t="shared" ref="D15" si="3">SUM(D9:D14)</f>
        <v>158646</v>
      </c>
      <c r="E15" s="15">
        <f t="shared" ref="E15" si="4">SUM(E9:E14)</f>
        <v>14172.84</v>
      </c>
      <c r="F15" s="15">
        <f t="shared" ref="F15" si="5">SUM(F9:F14)</f>
        <v>3222</v>
      </c>
      <c r="G15" s="16">
        <f t="shared" ref="G15" si="6">SUM(G9:G14)</f>
        <v>2723200.34</v>
      </c>
    </row>
    <row r="16" spans="1:7" s="1" customFormat="1" x14ac:dyDescent="0.25">
      <c r="A16" s="17" t="s">
        <v>75</v>
      </c>
      <c r="B16" s="18">
        <f>B8+B15</f>
        <v>4553575.5</v>
      </c>
      <c r="C16" s="18">
        <f t="shared" ref="C16:F16" si="7">C8+C15</f>
        <v>422269.7</v>
      </c>
      <c r="D16" s="18">
        <f t="shared" si="7"/>
        <v>325545</v>
      </c>
      <c r="E16" s="18">
        <f t="shared" si="7"/>
        <v>24818.84</v>
      </c>
      <c r="F16" s="18">
        <f t="shared" si="7"/>
        <v>39666</v>
      </c>
      <c r="G16" s="19">
        <f t="shared" ref="G16:G22" si="8">SUM(B16:F16)</f>
        <v>5365875.04</v>
      </c>
    </row>
    <row r="17" spans="1:7" x14ac:dyDescent="0.25">
      <c r="A17" s="9" t="s">
        <v>60</v>
      </c>
      <c r="B17" s="8">
        <f>166417+5526+10500+22560</f>
        <v>205003</v>
      </c>
      <c r="C17" s="8">
        <v>0</v>
      </c>
      <c r="D17" s="8">
        <f>11700+250+1000+2750</f>
        <v>15700</v>
      </c>
      <c r="E17" s="8">
        <f>600+100+300</f>
        <v>1000</v>
      </c>
      <c r="F17" s="8"/>
      <c r="G17" s="10">
        <f t="shared" si="8"/>
        <v>221703</v>
      </c>
    </row>
    <row r="18" spans="1:7" x14ac:dyDescent="0.25">
      <c r="A18" s="9" t="s">
        <v>61</v>
      </c>
      <c r="B18" s="8">
        <f>265365+23256+61290+13449+86394</f>
        <v>449754</v>
      </c>
      <c r="C18" s="8">
        <f>0+10584</f>
        <v>10584</v>
      </c>
      <c r="D18" s="8">
        <f>17874.46+3250+5250+250+6661</f>
        <v>33285.46</v>
      </c>
      <c r="E18" s="8">
        <f>1600+500</f>
        <v>2100</v>
      </c>
      <c r="F18" s="8"/>
      <c r="G18" s="10">
        <f t="shared" si="8"/>
        <v>495723.46</v>
      </c>
    </row>
    <row r="19" spans="1:7" x14ac:dyDescent="0.25">
      <c r="A19" s="9" t="s">
        <v>62</v>
      </c>
      <c r="B19" s="8">
        <f>239634+29580+6000+59486+2760+27963</f>
        <v>365423</v>
      </c>
      <c r="C19" s="8">
        <f>4315.5+8910</f>
        <v>13225.5</v>
      </c>
      <c r="D19" s="8">
        <f>15950+2000+500+6000+250+1750</f>
        <v>26450</v>
      </c>
      <c r="E19" s="8">
        <v>200</v>
      </c>
      <c r="F19" s="8"/>
      <c r="G19" s="10">
        <f t="shared" si="8"/>
        <v>405298.5</v>
      </c>
    </row>
    <row r="20" spans="1:7" x14ac:dyDescent="0.25">
      <c r="A20" s="9" t="s">
        <v>63</v>
      </c>
      <c r="B20" s="8">
        <f>207807+44427+24303+20681+30423</f>
        <v>327641</v>
      </c>
      <c r="C20" s="8">
        <v>2999</v>
      </c>
      <c r="D20" s="8">
        <f>16492+3250+1500+2250+2500</f>
        <v>25992</v>
      </c>
      <c r="E20" s="8">
        <f>1500+4300+300</f>
        <v>6100</v>
      </c>
      <c r="F20" s="8"/>
      <c r="G20" s="10">
        <f t="shared" si="8"/>
        <v>362732</v>
      </c>
    </row>
    <row r="21" spans="1:7" x14ac:dyDescent="0.25">
      <c r="A21" s="9" t="s">
        <v>64</v>
      </c>
      <c r="B21" s="8">
        <f>59306+140211+207480.44</f>
        <v>406997.44</v>
      </c>
      <c r="C21" s="8"/>
      <c r="D21" s="8">
        <f>5750+9100+25750</f>
        <v>40600</v>
      </c>
      <c r="E21" s="8">
        <f>2000+100</f>
        <v>2100</v>
      </c>
      <c r="F21" s="8">
        <v>3540</v>
      </c>
      <c r="G21" s="10">
        <f t="shared" si="8"/>
        <v>453237.44</v>
      </c>
    </row>
    <row r="22" spans="1:7" x14ac:dyDescent="0.25">
      <c r="A22" s="9" t="s">
        <v>65</v>
      </c>
      <c r="B22" s="8">
        <f>198574+74670+33933+19287+13218+41550</f>
        <v>381232</v>
      </c>
      <c r="C22" s="8">
        <f>6696</f>
        <v>6696</v>
      </c>
      <c r="D22" s="8">
        <f>15557+5250+2600+1000+1000+2500</f>
        <v>27907</v>
      </c>
      <c r="E22" s="8">
        <f>3600+600+200+600</f>
        <v>5000</v>
      </c>
      <c r="F22" s="8"/>
      <c r="G22" s="10">
        <f t="shared" si="8"/>
        <v>420835</v>
      </c>
    </row>
    <row r="23" spans="1:7" s="1" customFormat="1" ht="13.8" thickBot="1" x14ac:dyDescent="0.3">
      <c r="A23" s="20" t="s">
        <v>76</v>
      </c>
      <c r="B23" s="21">
        <f>SUM(B17:B22)</f>
        <v>2136050.44</v>
      </c>
      <c r="C23" s="21">
        <f t="shared" ref="C23" si="9">SUM(C17:C22)</f>
        <v>33504.5</v>
      </c>
      <c r="D23" s="21">
        <f t="shared" ref="D23" si="10">SUM(D17:D22)</f>
        <v>169934.46</v>
      </c>
      <c r="E23" s="21">
        <f t="shared" ref="E23" si="11">SUM(E17:E22)</f>
        <v>16500</v>
      </c>
      <c r="F23" s="21">
        <f t="shared" ref="F23" si="12">SUM(F17:F22)</f>
        <v>3540</v>
      </c>
      <c r="G23" s="22">
        <f t="shared" ref="G23" si="13">SUM(G17:G22)</f>
        <v>2359529.4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3"/>
  <sheetViews>
    <sheetView workbookViewId="0">
      <selection activeCell="C23" sqref="C23"/>
    </sheetView>
  </sheetViews>
  <sheetFormatPr defaultRowHeight="13.2" x14ac:dyDescent="0.25"/>
  <cols>
    <col min="1" max="1" width="20.109375" customWidth="1"/>
    <col min="2" max="2" width="10.77734375" customWidth="1"/>
    <col min="3" max="3" width="15.109375" customWidth="1"/>
    <col min="4" max="4" width="19.109375" customWidth="1"/>
    <col min="5" max="6" width="11.5546875" customWidth="1"/>
    <col min="17" max="17" width="8.88671875" style="23"/>
  </cols>
  <sheetData>
    <row r="1" spans="1:17" s="1" customFormat="1" x14ac:dyDescent="0.25">
      <c r="A1" s="11"/>
      <c r="B1" s="12" t="s">
        <v>81</v>
      </c>
      <c r="C1" s="12" t="s">
        <v>82</v>
      </c>
      <c r="D1" s="12" t="s">
        <v>85</v>
      </c>
      <c r="E1" s="12" t="s">
        <v>102</v>
      </c>
      <c r="F1" s="12" t="s">
        <v>80</v>
      </c>
      <c r="G1" s="13" t="s">
        <v>72</v>
      </c>
      <c r="I1" t="s">
        <v>90</v>
      </c>
      <c r="J1"/>
      <c r="K1"/>
      <c r="L1"/>
      <c r="M1"/>
    </row>
    <row r="2" spans="1:17" x14ac:dyDescent="0.25">
      <c r="A2" s="9" t="s">
        <v>60</v>
      </c>
      <c r="B2" s="8">
        <f>370+10000+740+1000</f>
        <v>12110</v>
      </c>
      <c r="C2" s="8">
        <v>50025</v>
      </c>
      <c r="D2" s="8"/>
      <c r="E2" s="8"/>
      <c r="F2" s="8"/>
      <c r="G2" s="10">
        <f t="shared" ref="G2:G7" si="0">SUM(B2:F2)</f>
        <v>62135</v>
      </c>
      <c r="I2" t="s">
        <v>96</v>
      </c>
      <c r="Q2"/>
    </row>
    <row r="3" spans="1:17" x14ac:dyDescent="0.25">
      <c r="A3" s="9" t="s">
        <v>61</v>
      </c>
      <c r="B3" s="8"/>
      <c r="C3" s="8">
        <v>50025</v>
      </c>
      <c r="D3" s="8"/>
      <c r="E3" s="8"/>
      <c r="F3" s="8"/>
      <c r="G3" s="10">
        <f t="shared" si="0"/>
        <v>50025</v>
      </c>
      <c r="I3" t="s">
        <v>116</v>
      </c>
      <c r="Q3"/>
    </row>
    <row r="4" spans="1:17" x14ac:dyDescent="0.25">
      <c r="A4" s="9" t="s">
        <v>62</v>
      </c>
      <c r="B4" s="8">
        <v>778</v>
      </c>
      <c r="C4" s="8"/>
      <c r="D4" s="8"/>
      <c r="E4" s="8"/>
      <c r="F4" s="8"/>
      <c r="G4" s="10">
        <f t="shared" si="0"/>
        <v>778</v>
      </c>
      <c r="I4" t="s">
        <v>98</v>
      </c>
      <c r="Q4"/>
    </row>
    <row r="5" spans="1:17" x14ac:dyDescent="0.25">
      <c r="A5" s="9" t="s">
        <v>63</v>
      </c>
      <c r="B5" s="8">
        <f>4290+595</f>
        <v>4885</v>
      </c>
      <c r="C5" s="8">
        <f>50025*2</f>
        <v>100050</v>
      </c>
      <c r="D5" s="8"/>
      <c r="E5" s="8"/>
      <c r="F5" s="8"/>
      <c r="G5" s="10">
        <f t="shared" si="0"/>
        <v>104935</v>
      </c>
      <c r="I5" t="s">
        <v>99</v>
      </c>
      <c r="Q5"/>
    </row>
    <row r="6" spans="1:17" x14ac:dyDescent="0.25">
      <c r="A6" s="9" t="s">
        <v>64</v>
      </c>
      <c r="B6" s="8">
        <f>2000-547</f>
        <v>1453</v>
      </c>
      <c r="C6" s="8">
        <v>50025</v>
      </c>
      <c r="D6" s="8"/>
      <c r="E6" s="8"/>
      <c r="F6" s="8"/>
      <c r="G6" s="10">
        <f t="shared" si="0"/>
        <v>51478</v>
      </c>
      <c r="H6" s="23"/>
      <c r="I6" t="s">
        <v>134</v>
      </c>
      <c r="Q6"/>
    </row>
    <row r="7" spans="1:17" x14ac:dyDescent="0.25">
      <c r="A7" s="9" t="s">
        <v>65</v>
      </c>
      <c r="B7" s="8">
        <f>1640+312.54</f>
        <v>1952.54</v>
      </c>
      <c r="C7" s="8"/>
      <c r="D7" s="8"/>
      <c r="E7" s="8"/>
      <c r="F7" s="8"/>
      <c r="G7" s="10">
        <f t="shared" si="0"/>
        <v>1952.54</v>
      </c>
      <c r="I7" t="s">
        <v>101</v>
      </c>
      <c r="Q7"/>
    </row>
    <row r="8" spans="1:17" s="1" customFormat="1" x14ac:dyDescent="0.25">
      <c r="A8" s="14" t="s">
        <v>73</v>
      </c>
      <c r="B8" s="15">
        <f>SUM(B2:B7)</f>
        <v>21178.54</v>
      </c>
      <c r="C8" s="15">
        <f t="shared" ref="C8:F8" si="1">SUM(C2:C7)</f>
        <v>250125</v>
      </c>
      <c r="D8" s="15">
        <f t="shared" si="1"/>
        <v>0</v>
      </c>
      <c r="E8" s="15">
        <f t="shared" si="1"/>
        <v>0</v>
      </c>
      <c r="F8" s="15">
        <f t="shared" si="1"/>
        <v>0</v>
      </c>
      <c r="G8" s="16">
        <f t="shared" ref="G8" si="2">SUM(G2:G7)</f>
        <v>271303.53999999998</v>
      </c>
      <c r="I8" t="s">
        <v>114</v>
      </c>
      <c r="J8"/>
      <c r="K8"/>
      <c r="L8"/>
      <c r="M8"/>
    </row>
    <row r="9" spans="1:17" x14ac:dyDescent="0.25">
      <c r="A9" s="9" t="s">
        <v>66</v>
      </c>
      <c r="B9" s="8">
        <f>4150+618+1096+1300</f>
        <v>7164</v>
      </c>
      <c r="C9" s="8">
        <f>50025+50025</f>
        <v>100050</v>
      </c>
      <c r="D9" s="8">
        <v>1883.5</v>
      </c>
      <c r="E9" s="8"/>
      <c r="F9" s="8"/>
      <c r="G9" s="10">
        <f t="shared" ref="G9:G14" si="3">SUM(B9:F9)</f>
        <v>109097.5</v>
      </c>
      <c r="I9" t="s">
        <v>133</v>
      </c>
      <c r="Q9"/>
    </row>
    <row r="10" spans="1:17" x14ac:dyDescent="0.25">
      <c r="A10" s="9" t="s">
        <v>67</v>
      </c>
      <c r="B10" s="8">
        <v>4000</v>
      </c>
      <c r="D10" s="8"/>
      <c r="F10" s="8"/>
      <c r="G10" s="10">
        <f t="shared" si="3"/>
        <v>4000</v>
      </c>
      <c r="I10" t="s">
        <v>103</v>
      </c>
      <c r="Q10"/>
    </row>
    <row r="11" spans="1:17" x14ac:dyDescent="0.25">
      <c r="A11" s="9" t="s">
        <v>68</v>
      </c>
      <c r="B11" s="8">
        <f>2351.57+2474.05+390</f>
        <v>5215.6200000000008</v>
      </c>
      <c r="C11" s="8">
        <v>50025</v>
      </c>
      <c r="D11" s="8"/>
      <c r="E11" s="8">
        <v>50000</v>
      </c>
      <c r="F11" s="8"/>
      <c r="G11" s="10">
        <f t="shared" si="3"/>
        <v>105240.62</v>
      </c>
      <c r="I11" t="s">
        <v>104</v>
      </c>
      <c r="Q11"/>
    </row>
    <row r="12" spans="1:17" x14ac:dyDescent="0.25">
      <c r="A12" s="9" t="s">
        <v>69</v>
      </c>
      <c r="B12" s="8"/>
      <c r="C12" s="8">
        <f>50025+50025</f>
        <v>100050</v>
      </c>
      <c r="D12" s="8"/>
      <c r="E12" s="8"/>
      <c r="F12" s="8"/>
      <c r="G12" s="10">
        <f t="shared" si="3"/>
        <v>100050</v>
      </c>
      <c r="I12" t="s">
        <v>105</v>
      </c>
      <c r="Q12"/>
    </row>
    <row r="13" spans="1:17" x14ac:dyDescent="0.25">
      <c r="A13" s="9" t="s">
        <v>70</v>
      </c>
      <c r="B13" s="8">
        <v>200</v>
      </c>
      <c r="C13" s="8"/>
      <c r="D13" s="8"/>
      <c r="E13" s="8">
        <v>12792</v>
      </c>
      <c r="F13" s="8"/>
      <c r="G13" s="10">
        <f t="shared" si="3"/>
        <v>12992</v>
      </c>
      <c r="I13" t="s">
        <v>106</v>
      </c>
      <c r="Q13"/>
    </row>
    <row r="14" spans="1:17" x14ac:dyDescent="0.25">
      <c r="A14" s="9" t="s">
        <v>71</v>
      </c>
      <c r="B14" s="8">
        <v>3010</v>
      </c>
      <c r="C14" s="8">
        <f>50025+50025</f>
        <v>100050</v>
      </c>
      <c r="D14" s="8"/>
      <c r="E14" s="8"/>
      <c r="F14" s="8"/>
      <c r="G14" s="10">
        <f t="shared" si="3"/>
        <v>103060</v>
      </c>
      <c r="I14" t="s">
        <v>151</v>
      </c>
      <c r="Q14"/>
    </row>
    <row r="15" spans="1:17" s="1" customFormat="1" x14ac:dyDescent="0.25">
      <c r="A15" s="14" t="s">
        <v>74</v>
      </c>
      <c r="B15" s="15">
        <f>SUM(B9:B14)</f>
        <v>19589.620000000003</v>
      </c>
      <c r="C15" s="15">
        <f t="shared" ref="C15:G15" si="4">SUM(C9:C14)</f>
        <v>350175</v>
      </c>
      <c r="D15" s="15">
        <f t="shared" si="4"/>
        <v>1883.5</v>
      </c>
      <c r="E15" s="15">
        <f t="shared" si="4"/>
        <v>62792</v>
      </c>
      <c r="F15" s="15">
        <f t="shared" si="4"/>
        <v>0</v>
      </c>
      <c r="G15" s="16">
        <f t="shared" si="4"/>
        <v>434440.12</v>
      </c>
    </row>
    <row r="16" spans="1:17" s="1" customFormat="1" x14ac:dyDescent="0.25">
      <c r="A16" s="17" t="s">
        <v>75</v>
      </c>
      <c r="B16" s="18">
        <f>B8+B15</f>
        <v>40768.160000000003</v>
      </c>
      <c r="C16" s="18">
        <f t="shared" ref="C16:F16" si="5">C8+C15</f>
        <v>600300</v>
      </c>
      <c r="D16" s="18">
        <f t="shared" si="5"/>
        <v>1883.5</v>
      </c>
      <c r="E16" s="18">
        <f t="shared" si="5"/>
        <v>62792</v>
      </c>
      <c r="F16" s="18">
        <f t="shared" si="5"/>
        <v>0</v>
      </c>
      <c r="G16" s="19">
        <f t="shared" ref="G16:G22" si="6">SUM(B16:F16)</f>
        <v>705743.66</v>
      </c>
    </row>
    <row r="17" spans="1:17" x14ac:dyDescent="0.25">
      <c r="A17" s="9" t="s">
        <v>60</v>
      </c>
      <c r="B17" s="8"/>
      <c r="C17" s="8">
        <v>50025</v>
      </c>
      <c r="D17" s="8"/>
      <c r="E17" s="8"/>
      <c r="F17" s="8"/>
      <c r="G17" s="10">
        <f t="shared" si="6"/>
        <v>50025</v>
      </c>
      <c r="Q17"/>
    </row>
    <row r="18" spans="1:17" x14ac:dyDescent="0.25">
      <c r="A18" s="9" t="s">
        <v>61</v>
      </c>
      <c r="B18" s="8">
        <f>2200+2192.24</f>
        <v>4392.24</v>
      </c>
      <c r="C18" s="8">
        <v>50025</v>
      </c>
      <c r="D18" s="8"/>
      <c r="E18" s="8"/>
      <c r="F18" s="8"/>
      <c r="G18" s="10">
        <f t="shared" si="6"/>
        <v>54417.24</v>
      </c>
      <c r="Q18"/>
    </row>
    <row r="19" spans="1:17" x14ac:dyDescent="0.25">
      <c r="A19" s="9" t="s">
        <v>62</v>
      </c>
      <c r="B19" s="8">
        <f>925+1669+2940</f>
        <v>5534</v>
      </c>
      <c r="C19" s="8">
        <v>70035</v>
      </c>
      <c r="D19" s="8"/>
      <c r="E19" s="8">
        <v>26800</v>
      </c>
      <c r="F19" s="8"/>
      <c r="G19" s="10">
        <f t="shared" si="6"/>
        <v>102369</v>
      </c>
      <c r="Q19"/>
    </row>
    <row r="20" spans="1:17" x14ac:dyDescent="0.25">
      <c r="A20" s="9" t="s">
        <v>63</v>
      </c>
      <c r="B20" s="8"/>
      <c r="C20" s="8">
        <v>50025</v>
      </c>
      <c r="D20" s="8"/>
      <c r="E20" s="8"/>
      <c r="F20" s="8"/>
      <c r="G20" s="10">
        <f t="shared" si="6"/>
        <v>50025</v>
      </c>
      <c r="Q20"/>
    </row>
    <row r="21" spans="1:17" x14ac:dyDescent="0.25">
      <c r="A21" s="9" t="s">
        <v>64</v>
      </c>
      <c r="B21" s="8">
        <v>6000</v>
      </c>
      <c r="C21" s="8"/>
      <c r="D21" s="8"/>
      <c r="E21" s="8"/>
      <c r="F21" s="8"/>
      <c r="G21" s="10">
        <f t="shared" si="6"/>
        <v>6000</v>
      </c>
      <c r="Q21"/>
    </row>
    <row r="22" spans="1:17" x14ac:dyDescent="0.25">
      <c r="A22" s="9" t="s">
        <v>65</v>
      </c>
      <c r="B22" s="8">
        <f>332+400</f>
        <v>732</v>
      </c>
      <c r="C22" s="8">
        <v>100050</v>
      </c>
      <c r="D22" s="8"/>
      <c r="E22" s="8"/>
      <c r="F22" s="8"/>
      <c r="G22" s="10">
        <f t="shared" si="6"/>
        <v>100782</v>
      </c>
      <c r="Q22"/>
    </row>
    <row r="23" spans="1:17" s="1" customFormat="1" ht="13.8" thickBot="1" x14ac:dyDescent="0.3">
      <c r="A23" s="20" t="s">
        <v>76</v>
      </c>
      <c r="B23" s="21">
        <f>SUM(B17:B22)</f>
        <v>16658.239999999998</v>
      </c>
      <c r="C23" s="21">
        <f t="shared" ref="C23:G23" si="7">SUM(C17:C22)</f>
        <v>320160</v>
      </c>
      <c r="D23" s="21">
        <f t="shared" si="7"/>
        <v>0</v>
      </c>
      <c r="E23" s="21">
        <f t="shared" si="7"/>
        <v>26800</v>
      </c>
      <c r="F23" s="21">
        <f t="shared" si="7"/>
        <v>0</v>
      </c>
      <c r="G23" s="22">
        <f t="shared" si="7"/>
        <v>363618.24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workbookViewId="0">
      <selection activeCell="F22" sqref="F22"/>
    </sheetView>
  </sheetViews>
  <sheetFormatPr defaultRowHeight="13.2" x14ac:dyDescent="0.25"/>
  <cols>
    <col min="1" max="1" width="12.5546875" customWidth="1"/>
    <col min="2" max="2" width="9.33203125" customWidth="1"/>
    <col min="3" max="3" width="15.109375" customWidth="1"/>
    <col min="4" max="4" width="9.33203125" customWidth="1"/>
    <col min="5" max="5" width="10.109375" customWidth="1"/>
    <col min="6" max="8" width="9.33203125" customWidth="1"/>
    <col min="9" max="9" width="16.6640625" customWidth="1"/>
    <col min="12" max="12" width="16.33203125" customWidth="1"/>
  </cols>
  <sheetData>
    <row r="1" spans="1:14" s="1" customFormat="1" ht="17.399999999999999" customHeight="1" x14ac:dyDescent="0.25">
      <c r="A1" s="11"/>
      <c r="B1" s="12" t="s">
        <v>80</v>
      </c>
      <c r="C1" s="12" t="s">
        <v>152</v>
      </c>
      <c r="D1" s="12" t="s">
        <v>83</v>
      </c>
      <c r="E1" s="12" t="s">
        <v>84</v>
      </c>
      <c r="F1" s="12" t="s">
        <v>86</v>
      </c>
      <c r="G1" s="12" t="s">
        <v>87</v>
      </c>
      <c r="H1" s="13" t="s">
        <v>72</v>
      </c>
    </row>
    <row r="2" spans="1:14" ht="17.399999999999999" customHeight="1" x14ac:dyDescent="0.25">
      <c r="A2" s="9" t="s">
        <v>60</v>
      </c>
      <c r="B2" s="8">
        <v>2000</v>
      </c>
      <c r="C2" s="8">
        <v>10000</v>
      </c>
      <c r="D2" s="8"/>
      <c r="E2" s="8">
        <v>20000</v>
      </c>
      <c r="F2" s="8">
        <v>1500</v>
      </c>
      <c r="G2" s="8"/>
      <c r="H2" s="10">
        <f t="shared" ref="H2:H7" si="0">SUM(B2:G2)</f>
        <v>33500</v>
      </c>
      <c r="J2" t="s">
        <v>91</v>
      </c>
      <c r="M2">
        <v>1500</v>
      </c>
      <c r="N2" t="s">
        <v>95</v>
      </c>
    </row>
    <row r="3" spans="1:14" ht="17.399999999999999" customHeight="1" x14ac:dyDescent="0.25">
      <c r="A3" s="9" t="s">
        <v>61</v>
      </c>
      <c r="B3" s="8"/>
      <c r="C3" s="8">
        <v>10000</v>
      </c>
      <c r="D3" s="8"/>
      <c r="E3" s="8">
        <v>19000</v>
      </c>
      <c r="F3" s="8"/>
      <c r="G3" s="8"/>
      <c r="H3" s="10">
        <f t="shared" si="0"/>
        <v>29000</v>
      </c>
      <c r="I3" t="s">
        <v>93</v>
      </c>
      <c r="J3" t="s">
        <v>92</v>
      </c>
      <c r="L3" t="s">
        <v>94</v>
      </c>
    </row>
    <row r="4" spans="1:14" ht="17.399999999999999" customHeight="1" x14ac:dyDescent="0.25">
      <c r="A4" s="9" t="s">
        <v>62</v>
      </c>
      <c r="B4" s="8"/>
      <c r="C4" s="8"/>
      <c r="D4" s="8">
        <v>4500</v>
      </c>
      <c r="E4" s="8"/>
      <c r="F4" s="8"/>
      <c r="G4" s="8"/>
      <c r="H4" s="10">
        <f t="shared" si="0"/>
        <v>4500</v>
      </c>
      <c r="I4" t="s">
        <v>93</v>
      </c>
      <c r="J4" t="s">
        <v>92</v>
      </c>
      <c r="L4" t="s">
        <v>97</v>
      </c>
    </row>
    <row r="5" spans="1:14" ht="17.399999999999999" customHeight="1" x14ac:dyDescent="0.25">
      <c r="A5" s="9" t="s">
        <v>63</v>
      </c>
      <c r="B5" s="8">
        <v>2000</v>
      </c>
      <c r="C5" s="8">
        <f>10000+10000</f>
        <v>20000</v>
      </c>
      <c r="D5" s="8">
        <f>500+500</f>
        <v>1000</v>
      </c>
      <c r="E5" s="8">
        <f>17500+16000</f>
        <v>33500</v>
      </c>
      <c r="F5" s="8">
        <f>3000</f>
        <v>3000</v>
      </c>
      <c r="G5" s="8"/>
      <c r="H5" s="10">
        <f t="shared" si="0"/>
        <v>59500</v>
      </c>
    </row>
    <row r="6" spans="1:14" ht="17.399999999999999" customHeight="1" x14ac:dyDescent="0.25">
      <c r="A6" s="9" t="s">
        <v>64</v>
      </c>
      <c r="B6" s="8">
        <v>2000</v>
      </c>
      <c r="C6" s="8">
        <v>10000</v>
      </c>
      <c r="D6" s="8"/>
      <c r="E6" s="8">
        <v>16000</v>
      </c>
      <c r="F6" s="8">
        <v>1000</v>
      </c>
      <c r="G6" s="8"/>
      <c r="H6" s="10">
        <f t="shared" si="0"/>
        <v>29000</v>
      </c>
    </row>
    <row r="7" spans="1:14" ht="17.399999999999999" customHeight="1" x14ac:dyDescent="0.25">
      <c r="A7" s="9" t="s">
        <v>65</v>
      </c>
      <c r="B7" s="8"/>
      <c r="C7" s="8"/>
      <c r="D7" s="8"/>
      <c r="E7" s="8"/>
      <c r="F7" s="8"/>
      <c r="G7" s="8"/>
      <c r="H7" s="10">
        <f t="shared" si="0"/>
        <v>0</v>
      </c>
    </row>
    <row r="8" spans="1:14" s="1" customFormat="1" ht="17.399999999999999" customHeight="1" x14ac:dyDescent="0.25">
      <c r="A8" s="14" t="s">
        <v>73</v>
      </c>
      <c r="B8" s="15">
        <f>SUM(B2:B7)</f>
        <v>6000</v>
      </c>
      <c r="C8" s="15">
        <f t="shared" ref="C8:F8" si="1">SUM(C2:C7)</f>
        <v>50000</v>
      </c>
      <c r="D8" s="15">
        <f t="shared" si="1"/>
        <v>5500</v>
      </c>
      <c r="E8" s="15">
        <f t="shared" si="1"/>
        <v>88500</v>
      </c>
      <c r="F8" s="15">
        <f t="shared" si="1"/>
        <v>5500</v>
      </c>
      <c r="G8" s="15">
        <f t="shared" ref="G8" si="2">SUM(G2:G7)</f>
        <v>0</v>
      </c>
      <c r="H8" s="16">
        <f t="shared" ref="H8" si="3">SUM(H2:H7)</f>
        <v>155500</v>
      </c>
    </row>
    <row r="9" spans="1:14" ht="17.399999999999999" customHeight="1" x14ac:dyDescent="0.25">
      <c r="A9" s="9" t="s">
        <v>66</v>
      </c>
      <c r="B9" s="8">
        <v>2000</v>
      </c>
      <c r="C9" s="8">
        <v>20000</v>
      </c>
      <c r="D9" s="8"/>
      <c r="E9" s="8">
        <f>16000+16000</f>
        <v>32000</v>
      </c>
      <c r="F9" s="8">
        <v>2000</v>
      </c>
      <c r="G9" s="8"/>
      <c r="H9" s="10">
        <f t="shared" ref="H9:H23" si="4">SUM(B9:G9)</f>
        <v>56000</v>
      </c>
    </row>
    <row r="10" spans="1:14" ht="17.399999999999999" customHeight="1" x14ac:dyDescent="0.25">
      <c r="A10" s="9" t="s">
        <v>67</v>
      </c>
      <c r="B10" s="8"/>
      <c r="C10" s="8">
        <v>10000</v>
      </c>
      <c r="D10" s="8"/>
      <c r="E10" s="8"/>
      <c r="F10" s="8"/>
      <c r="G10" s="8"/>
      <c r="H10" s="10">
        <f t="shared" si="4"/>
        <v>10000</v>
      </c>
    </row>
    <row r="11" spans="1:14" ht="17.399999999999999" customHeight="1" x14ac:dyDescent="0.25">
      <c r="A11" s="9" t="s">
        <v>68</v>
      </c>
      <c r="B11" s="8">
        <v>2000</v>
      </c>
      <c r="C11" s="8"/>
      <c r="D11" s="8"/>
      <c r="E11" s="8">
        <v>16000</v>
      </c>
      <c r="F11" s="8">
        <f>1000+3000</f>
        <v>4000</v>
      </c>
      <c r="G11" s="8"/>
      <c r="H11" s="10">
        <f t="shared" si="4"/>
        <v>22000</v>
      </c>
    </row>
    <row r="12" spans="1:14" ht="17.399999999999999" customHeight="1" x14ac:dyDescent="0.25">
      <c r="A12" s="9" t="s">
        <v>69</v>
      </c>
      <c r="B12" s="8">
        <v>2000</v>
      </c>
      <c r="C12" s="8">
        <f>10000+10000</f>
        <v>20000</v>
      </c>
      <c r="D12" s="8"/>
      <c r="E12" s="8">
        <f>16000+16000+20000</f>
        <v>52000</v>
      </c>
      <c r="F12" s="8"/>
      <c r="G12" s="8"/>
      <c r="H12" s="10">
        <f t="shared" si="4"/>
        <v>74000</v>
      </c>
    </row>
    <row r="13" spans="1:14" ht="17.399999999999999" customHeight="1" x14ac:dyDescent="0.25">
      <c r="A13" s="9" t="s">
        <v>70</v>
      </c>
      <c r="B13" s="8"/>
      <c r="C13" s="8"/>
      <c r="D13" s="8"/>
      <c r="E13" s="8"/>
      <c r="F13" s="8">
        <v>4000</v>
      </c>
      <c r="G13" s="8"/>
      <c r="H13" s="10">
        <f t="shared" si="4"/>
        <v>4000</v>
      </c>
    </row>
    <row r="14" spans="1:14" ht="17.399999999999999" customHeight="1" x14ac:dyDescent="0.25">
      <c r="A14" s="9" t="s">
        <v>71</v>
      </c>
      <c r="B14" s="8">
        <v>2000</v>
      </c>
      <c r="C14" s="8">
        <v>25000</v>
      </c>
      <c r="D14" s="8"/>
      <c r="E14" s="8">
        <f>16000+16000+5000</f>
        <v>37000</v>
      </c>
      <c r="F14" s="8">
        <v>500</v>
      </c>
      <c r="G14" s="8">
        <v>34000</v>
      </c>
      <c r="H14" s="10">
        <f>SUM(B14:G14)</f>
        <v>98500</v>
      </c>
    </row>
    <row r="15" spans="1:14" s="1" customFormat="1" ht="17.399999999999999" customHeight="1" x14ac:dyDescent="0.25">
      <c r="A15" s="14" t="s">
        <v>74</v>
      </c>
      <c r="B15" s="15">
        <f>SUM(B9:B14)</f>
        <v>8000</v>
      </c>
      <c r="C15" s="15">
        <f t="shared" ref="C15:F15" si="5">SUM(C9:C14)</f>
        <v>75000</v>
      </c>
      <c r="D15" s="15">
        <f t="shared" si="5"/>
        <v>0</v>
      </c>
      <c r="E15" s="15">
        <f t="shared" si="5"/>
        <v>137000</v>
      </c>
      <c r="F15" s="15">
        <f t="shared" si="5"/>
        <v>10500</v>
      </c>
      <c r="G15" s="15">
        <f>SUM(G9:G14)</f>
        <v>34000</v>
      </c>
      <c r="H15" s="16">
        <f t="shared" si="4"/>
        <v>264500</v>
      </c>
    </row>
    <row r="16" spans="1:14" ht="17.399999999999999" customHeight="1" x14ac:dyDescent="0.25">
      <c r="A16" s="17" t="s">
        <v>75</v>
      </c>
      <c r="B16" s="18">
        <f>B8+B15</f>
        <v>14000</v>
      </c>
      <c r="C16" s="18">
        <f t="shared" ref="C16:F16" si="6">C8+C15</f>
        <v>125000</v>
      </c>
      <c r="D16" s="18">
        <f t="shared" si="6"/>
        <v>5500</v>
      </c>
      <c r="E16" s="18">
        <f t="shared" si="6"/>
        <v>225500</v>
      </c>
      <c r="F16" s="18">
        <f t="shared" si="6"/>
        <v>16000</v>
      </c>
      <c r="G16" s="18">
        <f>G8+G15</f>
        <v>34000</v>
      </c>
      <c r="H16" s="19">
        <f t="shared" ref="H16" si="7">H8+H15</f>
        <v>420000</v>
      </c>
    </row>
    <row r="17" spans="1:8" ht="17.399999999999999" customHeight="1" x14ac:dyDescent="0.25">
      <c r="A17" s="9" t="s">
        <v>60</v>
      </c>
      <c r="B17" s="8">
        <v>2000</v>
      </c>
      <c r="C17" s="8">
        <v>10000</v>
      </c>
      <c r="D17" s="8"/>
      <c r="E17" s="8">
        <v>16000</v>
      </c>
      <c r="F17" s="8"/>
      <c r="G17" s="8">
        <v>14000</v>
      </c>
      <c r="H17" s="10">
        <f t="shared" si="4"/>
        <v>42000</v>
      </c>
    </row>
    <row r="18" spans="1:8" ht="17.399999999999999" customHeight="1" x14ac:dyDescent="0.25">
      <c r="A18" s="9" t="s">
        <v>61</v>
      </c>
      <c r="B18" s="8"/>
      <c r="C18" s="8">
        <v>10000</v>
      </c>
      <c r="D18" s="8"/>
      <c r="E18" s="8">
        <v>16000</v>
      </c>
      <c r="F18" s="8">
        <v>1000</v>
      </c>
      <c r="G18" s="8"/>
      <c r="H18" s="10">
        <f t="shared" si="4"/>
        <v>27000</v>
      </c>
    </row>
    <row r="19" spans="1:8" ht="17.399999999999999" customHeight="1" x14ac:dyDescent="0.25">
      <c r="A19" s="9" t="s">
        <v>62</v>
      </c>
      <c r="B19" s="8"/>
      <c r="C19" s="8">
        <v>10000</v>
      </c>
      <c r="D19" s="8"/>
      <c r="E19" s="8">
        <v>16000</v>
      </c>
      <c r="F19" s="8"/>
      <c r="G19" s="8"/>
      <c r="H19" s="10">
        <f t="shared" si="4"/>
        <v>26000</v>
      </c>
    </row>
    <row r="20" spans="1:8" ht="17.399999999999999" customHeight="1" x14ac:dyDescent="0.25">
      <c r="A20" s="9" t="s">
        <v>63</v>
      </c>
      <c r="B20" s="8"/>
      <c r="C20" s="8">
        <v>10000</v>
      </c>
      <c r="D20" s="8"/>
      <c r="E20" s="8">
        <v>16000</v>
      </c>
      <c r="F20" s="8"/>
      <c r="G20" s="8"/>
      <c r="H20" s="10">
        <f t="shared" si="4"/>
        <v>26000</v>
      </c>
    </row>
    <row r="21" spans="1:8" ht="17.399999999999999" customHeight="1" x14ac:dyDescent="0.25">
      <c r="A21" s="9" t="s">
        <v>64</v>
      </c>
      <c r="B21" s="8"/>
      <c r="C21" s="8"/>
      <c r="D21" s="8"/>
      <c r="E21" s="8"/>
      <c r="F21" s="8"/>
      <c r="G21" s="8"/>
      <c r="H21" s="10">
        <f t="shared" si="4"/>
        <v>0</v>
      </c>
    </row>
    <row r="22" spans="1:8" ht="17.399999999999999" customHeight="1" x14ac:dyDescent="0.25">
      <c r="A22" s="9" t="s">
        <v>65</v>
      </c>
      <c r="B22" s="8">
        <v>2000</v>
      </c>
      <c r="C22" s="8">
        <v>20000</v>
      </c>
      <c r="D22" s="8"/>
      <c r="E22" s="8">
        <v>32000</v>
      </c>
      <c r="F22" s="8">
        <v>8000</v>
      </c>
      <c r="G22" s="8"/>
      <c r="H22" s="10">
        <f t="shared" si="4"/>
        <v>62000</v>
      </c>
    </row>
    <row r="23" spans="1:8" s="1" customFormat="1" ht="17.399999999999999" customHeight="1" thickBot="1" x14ac:dyDescent="0.3">
      <c r="A23" s="20" t="s">
        <v>76</v>
      </c>
      <c r="B23" s="21">
        <f>SUM(B17:B22)</f>
        <v>4000</v>
      </c>
      <c r="C23" s="21">
        <f t="shared" ref="C23:G23" si="8">SUM(C17:C22)</f>
        <v>60000</v>
      </c>
      <c r="D23" s="21">
        <f t="shared" si="8"/>
        <v>0</v>
      </c>
      <c r="E23" s="21">
        <f t="shared" si="8"/>
        <v>96000</v>
      </c>
      <c r="F23" s="21">
        <f t="shared" si="8"/>
        <v>9000</v>
      </c>
      <c r="G23" s="21">
        <f t="shared" si="8"/>
        <v>14000</v>
      </c>
      <c r="H23" s="22">
        <f t="shared" si="4"/>
        <v>183000</v>
      </c>
    </row>
    <row r="24" spans="1:8" ht="17.399999999999999" customHeight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78"/>
  <sheetViews>
    <sheetView topLeftCell="A100" workbookViewId="0">
      <selection activeCell="N13" sqref="N13"/>
    </sheetView>
  </sheetViews>
  <sheetFormatPr defaultColWidth="11.5546875" defaultRowHeight="13.2" x14ac:dyDescent="0.25"/>
  <cols>
    <col min="1" max="1" width="40.44140625" customWidth="1"/>
    <col min="2" max="11" width="11.44140625" customWidth="1"/>
    <col min="12" max="12" width="12.5546875" customWidth="1"/>
  </cols>
  <sheetData>
    <row r="1" spans="1:12" s="25" customFormat="1" ht="15" customHeight="1" thickBot="1" x14ac:dyDescent="0.3">
      <c r="A1" s="255" t="s">
        <v>37</v>
      </c>
      <c r="B1" s="256"/>
      <c r="C1" s="256"/>
      <c r="D1" s="256"/>
      <c r="E1" s="256"/>
      <c r="F1" s="256"/>
      <c r="G1" s="256"/>
      <c r="H1" s="256"/>
      <c r="I1" s="256"/>
      <c r="J1" s="256"/>
      <c r="K1" s="257"/>
    </row>
    <row r="2" spans="1:12" s="25" customFormat="1" ht="15" customHeight="1" thickBot="1" x14ac:dyDescent="0.3">
      <c r="A2" s="26" t="s">
        <v>0</v>
      </c>
      <c r="B2" s="27">
        <v>44938</v>
      </c>
      <c r="C2" s="27">
        <v>44940</v>
      </c>
      <c r="D2" s="27">
        <v>44944</v>
      </c>
      <c r="E2" s="27">
        <v>44945</v>
      </c>
      <c r="F2" s="27">
        <v>44946</v>
      </c>
      <c r="G2" s="27">
        <v>44956</v>
      </c>
      <c r="H2" s="27">
        <v>44957</v>
      </c>
      <c r="I2" s="27"/>
      <c r="J2" s="27"/>
      <c r="K2" s="28" t="s">
        <v>1</v>
      </c>
    </row>
    <row r="3" spans="1:12" s="25" customFormat="1" ht="15" customHeight="1" x14ac:dyDescent="0.25">
      <c r="A3" s="29" t="s">
        <v>22</v>
      </c>
      <c r="B3" s="30"/>
      <c r="C3" s="30"/>
      <c r="D3" s="30"/>
      <c r="E3" s="30"/>
      <c r="F3" s="30"/>
      <c r="G3" s="31">
        <f>75000-35800</f>
        <v>39200</v>
      </c>
      <c r="H3" s="30"/>
      <c r="I3" s="30"/>
      <c r="J3" s="30"/>
      <c r="K3" s="32">
        <f t="shared" ref="K3:K13" si="0">SUM(B3:I3)</f>
        <v>39200</v>
      </c>
    </row>
    <row r="4" spans="1:12" s="25" customFormat="1" ht="15" customHeight="1" x14ac:dyDescent="0.25">
      <c r="A4" s="33" t="s">
        <v>24</v>
      </c>
      <c r="B4" s="34"/>
      <c r="C4" s="35"/>
      <c r="D4" s="34"/>
      <c r="E4" s="35"/>
      <c r="F4" s="35"/>
      <c r="G4" s="35">
        <v>10005</v>
      </c>
      <c r="H4" s="35">
        <v>10005</v>
      </c>
      <c r="I4" s="35"/>
      <c r="J4" s="35"/>
      <c r="K4" s="34">
        <f t="shared" si="0"/>
        <v>20010</v>
      </c>
    </row>
    <row r="5" spans="1:12" s="25" customFormat="1" ht="15" customHeight="1" x14ac:dyDescent="0.25">
      <c r="A5" s="33" t="s">
        <v>3</v>
      </c>
      <c r="B5" s="35">
        <v>3703.79</v>
      </c>
      <c r="C5" s="34"/>
      <c r="D5" s="34">
        <v>8800</v>
      </c>
      <c r="E5" s="35"/>
      <c r="F5" s="35"/>
      <c r="G5" s="35"/>
      <c r="H5" s="35"/>
      <c r="I5" s="35"/>
      <c r="J5" s="35"/>
      <c r="K5" s="34">
        <f t="shared" si="0"/>
        <v>12503.79</v>
      </c>
    </row>
    <row r="6" spans="1:12" s="25" customFormat="1" ht="15" customHeight="1" x14ac:dyDescent="0.25">
      <c r="A6" s="33" t="s">
        <v>39</v>
      </c>
      <c r="B6" s="34"/>
      <c r="C6" s="34"/>
      <c r="D6" s="34">
        <v>29667.57</v>
      </c>
      <c r="E6" s="34"/>
      <c r="F6" s="34"/>
      <c r="G6" s="34"/>
      <c r="H6" s="34"/>
      <c r="I6" s="34"/>
      <c r="J6" s="34"/>
      <c r="K6" s="34">
        <f t="shared" si="0"/>
        <v>29667.57</v>
      </c>
    </row>
    <row r="7" spans="1:12" s="25" customFormat="1" ht="15" customHeight="1" x14ac:dyDescent="0.25">
      <c r="A7" s="33" t="s">
        <v>5</v>
      </c>
      <c r="B7" s="35"/>
      <c r="C7" s="34">
        <v>336316.5</v>
      </c>
      <c r="D7" s="34"/>
      <c r="E7" s="35"/>
      <c r="F7" s="35"/>
      <c r="G7" s="35"/>
      <c r="H7" s="35"/>
      <c r="I7" s="35"/>
      <c r="J7" s="35"/>
      <c r="K7" s="34">
        <f t="shared" si="0"/>
        <v>336316.5</v>
      </c>
    </row>
    <row r="8" spans="1:12" s="25" customFormat="1" ht="15" customHeight="1" x14ac:dyDescent="0.25">
      <c r="A8" s="33" t="s">
        <v>21</v>
      </c>
      <c r="B8" s="34"/>
      <c r="C8" s="35"/>
      <c r="D8" s="35"/>
      <c r="E8" s="35"/>
      <c r="F8" s="35"/>
      <c r="G8" s="35">
        <v>40020</v>
      </c>
      <c r="H8" s="35"/>
      <c r="I8" s="35"/>
      <c r="J8" s="35"/>
      <c r="K8" s="34">
        <f t="shared" si="0"/>
        <v>40020</v>
      </c>
    </row>
    <row r="9" spans="1:12" s="25" customFormat="1" ht="15" customHeight="1" x14ac:dyDescent="0.25">
      <c r="A9" s="33" t="s">
        <v>8</v>
      </c>
      <c r="B9" s="35"/>
      <c r="C9" s="34"/>
      <c r="D9" s="34"/>
      <c r="E9" s="35"/>
      <c r="F9" s="35"/>
      <c r="G9" s="35">
        <v>7081</v>
      </c>
      <c r="H9" s="35">
        <v>7081</v>
      </c>
      <c r="I9" s="35"/>
      <c r="J9" s="35"/>
      <c r="K9" s="34">
        <f t="shared" si="0"/>
        <v>14162</v>
      </c>
    </row>
    <row r="10" spans="1:12" s="25" customFormat="1" ht="15" customHeight="1" x14ac:dyDescent="0.25">
      <c r="A10" s="33" t="s">
        <v>4</v>
      </c>
      <c r="B10" s="35"/>
      <c r="C10" s="34"/>
      <c r="D10" s="34"/>
      <c r="E10" s="35"/>
      <c r="F10" s="35"/>
      <c r="G10" s="35"/>
      <c r="H10" s="35"/>
      <c r="I10" s="35"/>
      <c r="J10" s="35"/>
      <c r="K10" s="34">
        <f t="shared" si="0"/>
        <v>0</v>
      </c>
    </row>
    <row r="11" spans="1:12" s="25" customFormat="1" ht="15" customHeight="1" x14ac:dyDescent="0.25">
      <c r="A11" s="33" t="s">
        <v>2</v>
      </c>
      <c r="B11" s="35"/>
      <c r="C11" s="34"/>
      <c r="D11" s="34"/>
      <c r="E11" s="35">
        <v>1290</v>
      </c>
      <c r="F11" s="35">
        <v>720</v>
      </c>
      <c r="G11" s="35">
        <v>50.03</v>
      </c>
      <c r="H11" s="35">
        <v>60.04</v>
      </c>
      <c r="I11" s="35"/>
      <c r="J11" s="35"/>
      <c r="K11" s="34">
        <f t="shared" si="0"/>
        <v>2120.0700000000002</v>
      </c>
    </row>
    <row r="12" spans="1:12" s="25" customFormat="1" ht="15" customHeight="1" x14ac:dyDescent="0.25">
      <c r="A12" s="33" t="s">
        <v>23</v>
      </c>
      <c r="B12" s="35"/>
      <c r="C12" s="35"/>
      <c r="D12" s="35"/>
      <c r="E12" s="35"/>
      <c r="F12" s="35"/>
      <c r="G12" s="36">
        <v>35800</v>
      </c>
      <c r="H12" s="35"/>
      <c r="I12" s="35"/>
      <c r="J12" s="35"/>
      <c r="K12" s="34">
        <f t="shared" si="0"/>
        <v>35800</v>
      </c>
    </row>
    <row r="13" spans="1:12" s="25" customFormat="1" ht="15" customHeight="1" x14ac:dyDescent="0.25">
      <c r="A13" s="33" t="s">
        <v>6</v>
      </c>
      <c r="B13" s="34"/>
      <c r="C13" s="35"/>
      <c r="D13" s="35"/>
      <c r="E13" s="34"/>
      <c r="F13" s="34"/>
      <c r="G13" s="34"/>
      <c r="H13" s="34"/>
      <c r="I13" s="34"/>
      <c r="J13" s="34"/>
      <c r="K13" s="34">
        <f t="shared" si="0"/>
        <v>0</v>
      </c>
    </row>
    <row r="14" spans="1:12" s="25" customFormat="1" ht="15" customHeight="1" x14ac:dyDescent="0.25">
      <c r="A14" s="258" t="s">
        <v>7</v>
      </c>
      <c r="B14" s="259">
        <f t="shared" ref="B14:I14" si="1">SUM(B3:B13)</f>
        <v>3703.79</v>
      </c>
      <c r="C14" s="259">
        <f t="shared" si="1"/>
        <v>336316.5</v>
      </c>
      <c r="D14" s="259">
        <f t="shared" si="1"/>
        <v>38467.57</v>
      </c>
      <c r="E14" s="259">
        <f t="shared" si="1"/>
        <v>1290</v>
      </c>
      <c r="F14" s="259">
        <f t="shared" si="1"/>
        <v>720</v>
      </c>
      <c r="G14" s="259">
        <f t="shared" si="1"/>
        <v>132156.03</v>
      </c>
      <c r="H14" s="259">
        <f t="shared" si="1"/>
        <v>17146.04</v>
      </c>
      <c r="I14" s="259">
        <f t="shared" si="1"/>
        <v>0</v>
      </c>
      <c r="J14" s="259">
        <f t="shared" ref="J14" si="2">SUM(J3:J13)</f>
        <v>0</v>
      </c>
      <c r="K14" s="260">
        <f>SUM(K3:K13)</f>
        <v>529799.92999999993</v>
      </c>
    </row>
    <row r="15" spans="1:12" s="25" customFormat="1" ht="15" customHeight="1" thickBot="1" x14ac:dyDescent="0.3">
      <c r="A15" s="258"/>
      <c r="B15" s="259"/>
      <c r="C15" s="259"/>
      <c r="D15" s="259"/>
      <c r="E15" s="259"/>
      <c r="F15" s="259"/>
      <c r="G15" s="259"/>
      <c r="H15" s="259"/>
      <c r="I15" s="259"/>
      <c r="J15" s="259"/>
      <c r="K15" s="260"/>
      <c r="L15" s="37"/>
    </row>
    <row r="16" spans="1:12" s="38" customFormat="1" ht="15" customHeight="1" thickBot="1" x14ac:dyDescent="0.35">
      <c r="A16" s="255" t="s">
        <v>26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7"/>
    </row>
    <row r="17" spans="1:14" s="25" customFormat="1" ht="15" customHeight="1" thickBot="1" x14ac:dyDescent="0.3">
      <c r="A17" s="26" t="s">
        <v>0</v>
      </c>
      <c r="B17" s="27">
        <v>44960</v>
      </c>
      <c r="C17" s="27">
        <v>44970</v>
      </c>
      <c r="D17" s="27">
        <v>44972</v>
      </c>
      <c r="E17" s="27">
        <v>44974</v>
      </c>
      <c r="F17" s="27">
        <v>44976</v>
      </c>
      <c r="G17" s="27">
        <v>44978</v>
      </c>
      <c r="H17" s="27">
        <v>44984</v>
      </c>
      <c r="I17" s="27">
        <v>44985</v>
      </c>
      <c r="J17" s="27"/>
      <c r="K17" s="28" t="s">
        <v>1</v>
      </c>
    </row>
    <row r="18" spans="1:14" s="25" customFormat="1" ht="15" customHeight="1" x14ac:dyDescent="0.25">
      <c r="A18" s="29" t="s">
        <v>25</v>
      </c>
      <c r="B18" s="32"/>
      <c r="C18" s="32"/>
      <c r="D18" s="32"/>
      <c r="E18" s="32"/>
      <c r="F18" s="32"/>
      <c r="G18" s="32"/>
      <c r="H18" s="32"/>
      <c r="I18" s="32">
        <v>35000</v>
      </c>
      <c r="J18" s="32"/>
      <c r="K18" s="32">
        <f t="shared" ref="K18:K28" si="3">SUM(B18:I18)</f>
        <v>35000</v>
      </c>
    </row>
    <row r="19" spans="1:14" s="25" customFormat="1" ht="15" customHeight="1" x14ac:dyDescent="0.25">
      <c r="A19" s="33" t="s">
        <v>24</v>
      </c>
      <c r="B19" s="34"/>
      <c r="C19" s="35"/>
      <c r="D19" s="34"/>
      <c r="E19" s="35"/>
      <c r="F19" s="35"/>
      <c r="G19" s="35"/>
      <c r="H19" s="35"/>
      <c r="I19" s="35">
        <v>20010</v>
      </c>
      <c r="J19" s="35"/>
      <c r="K19" s="34">
        <f t="shared" si="3"/>
        <v>20010</v>
      </c>
    </row>
    <row r="20" spans="1:14" s="25" customFormat="1" ht="15" customHeight="1" x14ac:dyDescent="0.25">
      <c r="A20" s="33" t="s">
        <v>3</v>
      </c>
      <c r="B20" s="35"/>
      <c r="C20" s="34"/>
      <c r="D20" s="34"/>
      <c r="E20" s="35"/>
      <c r="F20" s="35"/>
      <c r="G20" s="35"/>
      <c r="H20" s="35"/>
      <c r="I20" s="35">
        <f>4629.74+35200</f>
        <v>39829.74</v>
      </c>
      <c r="J20" s="35"/>
      <c r="K20" s="34">
        <f t="shared" si="3"/>
        <v>39829.74</v>
      </c>
    </row>
    <row r="21" spans="1:14" s="25" customFormat="1" ht="15" customHeight="1" x14ac:dyDescent="0.25">
      <c r="A21" s="33" t="s">
        <v>39</v>
      </c>
      <c r="B21" s="34"/>
      <c r="C21" s="34"/>
      <c r="D21" s="34"/>
      <c r="E21" s="34">
        <v>184</v>
      </c>
      <c r="F21" s="34"/>
      <c r="G21" s="34"/>
      <c r="H21" s="34"/>
      <c r="I21" s="34">
        <v>16445</v>
      </c>
      <c r="J21" s="34"/>
      <c r="K21" s="34">
        <f t="shared" si="3"/>
        <v>16629</v>
      </c>
    </row>
    <row r="22" spans="1:14" s="25" customFormat="1" ht="15" customHeight="1" x14ac:dyDescent="0.25">
      <c r="A22" s="33" t="s">
        <v>5</v>
      </c>
      <c r="B22" s="35"/>
      <c r="C22" s="34"/>
      <c r="D22" s="34"/>
      <c r="E22" s="35"/>
      <c r="F22" s="35"/>
      <c r="G22" s="35"/>
      <c r="H22" s="35"/>
      <c r="I22" s="35">
        <v>230728.5</v>
      </c>
      <c r="J22" s="35"/>
      <c r="K22" s="34">
        <f t="shared" si="3"/>
        <v>230728.5</v>
      </c>
    </row>
    <row r="23" spans="1:14" s="25" customFormat="1" ht="15" customHeight="1" x14ac:dyDescent="0.25">
      <c r="A23" s="33" t="s">
        <v>21</v>
      </c>
      <c r="B23" s="34"/>
      <c r="C23" s="35"/>
      <c r="D23" s="35"/>
      <c r="E23" s="35"/>
      <c r="F23" s="35"/>
      <c r="G23" s="35"/>
      <c r="H23" s="35"/>
      <c r="I23" s="35">
        <v>38010</v>
      </c>
      <c r="J23" s="35"/>
      <c r="K23" s="34">
        <f t="shared" si="3"/>
        <v>38010</v>
      </c>
    </row>
    <row r="24" spans="1:14" s="25" customFormat="1" ht="15" customHeight="1" x14ac:dyDescent="0.25">
      <c r="A24" s="33" t="s">
        <v>8</v>
      </c>
      <c r="B24" s="35"/>
      <c r="C24" s="34">
        <v>2000</v>
      </c>
      <c r="D24" s="34"/>
      <c r="E24" s="35"/>
      <c r="F24" s="35"/>
      <c r="G24" s="35"/>
      <c r="H24" s="35"/>
      <c r="I24" s="35"/>
      <c r="J24" s="35"/>
      <c r="K24" s="34">
        <f t="shared" si="3"/>
        <v>2000</v>
      </c>
    </row>
    <row r="25" spans="1:14" s="25" customFormat="1" ht="15" customHeight="1" x14ac:dyDescent="0.25">
      <c r="A25" s="33" t="s">
        <v>4</v>
      </c>
      <c r="B25" s="35"/>
      <c r="C25" s="34">
        <v>9000</v>
      </c>
      <c r="D25" s="34">
        <v>9000</v>
      </c>
      <c r="E25" s="35"/>
      <c r="F25" s="35"/>
      <c r="G25" s="35">
        <v>18000</v>
      </c>
      <c r="H25" s="35">
        <v>9000</v>
      </c>
      <c r="I25" s="35"/>
      <c r="J25" s="35"/>
      <c r="K25" s="34">
        <f t="shared" si="3"/>
        <v>45000</v>
      </c>
      <c r="N25" s="33"/>
    </row>
    <row r="26" spans="1:14" s="25" customFormat="1" ht="15" customHeight="1" x14ac:dyDescent="0.25">
      <c r="A26" s="33" t="s">
        <v>2</v>
      </c>
      <c r="B26" s="35"/>
      <c r="C26" s="34"/>
      <c r="D26" s="34"/>
      <c r="E26" s="35"/>
      <c r="F26" s="35">
        <v>1290</v>
      </c>
      <c r="G26" s="35"/>
      <c r="H26" s="35"/>
      <c r="I26" s="35">
        <v>650.03</v>
      </c>
      <c r="J26" s="35"/>
      <c r="K26" s="34">
        <f t="shared" si="3"/>
        <v>1940.03</v>
      </c>
    </row>
    <row r="27" spans="1:14" s="25" customFormat="1" ht="15" customHeight="1" x14ac:dyDescent="0.25">
      <c r="A27" s="33" t="s">
        <v>23</v>
      </c>
      <c r="B27" s="35"/>
      <c r="C27" s="35"/>
      <c r="D27" s="35"/>
      <c r="E27" s="35"/>
      <c r="F27" s="35"/>
      <c r="G27" s="36"/>
      <c r="H27" s="35"/>
      <c r="I27" s="35"/>
      <c r="J27" s="35"/>
      <c r="K27" s="34">
        <f t="shared" si="3"/>
        <v>0</v>
      </c>
    </row>
    <row r="28" spans="1:14" s="25" customFormat="1" ht="15" customHeight="1" x14ac:dyDescent="0.25">
      <c r="A28" s="33" t="s">
        <v>6</v>
      </c>
      <c r="B28" s="34">
        <v>22000</v>
      </c>
      <c r="C28" s="35"/>
      <c r="D28" s="35"/>
      <c r="E28" s="34"/>
      <c r="F28" s="34"/>
      <c r="G28" s="34"/>
      <c r="H28" s="34"/>
      <c r="I28" s="34"/>
      <c r="J28" s="34"/>
      <c r="K28" s="34">
        <f t="shared" si="3"/>
        <v>22000</v>
      </c>
    </row>
    <row r="29" spans="1:14" s="25" customFormat="1" ht="15" customHeight="1" x14ac:dyDescent="0.25">
      <c r="A29" s="258" t="s">
        <v>7</v>
      </c>
      <c r="B29" s="259">
        <f t="shared" ref="B29:K29" si="4">SUM(B18:B28)</f>
        <v>22000</v>
      </c>
      <c r="C29" s="259">
        <f t="shared" si="4"/>
        <v>11000</v>
      </c>
      <c r="D29" s="259">
        <f t="shared" si="4"/>
        <v>9000</v>
      </c>
      <c r="E29" s="259">
        <f t="shared" si="4"/>
        <v>184</v>
      </c>
      <c r="F29" s="259">
        <f t="shared" si="4"/>
        <v>1290</v>
      </c>
      <c r="G29" s="259">
        <f t="shared" si="4"/>
        <v>18000</v>
      </c>
      <c r="H29" s="259">
        <f t="shared" si="4"/>
        <v>9000</v>
      </c>
      <c r="I29" s="259">
        <f t="shared" si="4"/>
        <v>380673.27</v>
      </c>
      <c r="J29" s="34"/>
      <c r="K29" s="260">
        <f t="shared" si="4"/>
        <v>451147.27</v>
      </c>
    </row>
    <row r="30" spans="1:14" s="25" customFormat="1" ht="15" customHeight="1" thickBot="1" x14ac:dyDescent="0.3">
      <c r="A30" s="258"/>
      <c r="B30" s="259"/>
      <c r="C30" s="259"/>
      <c r="D30" s="259"/>
      <c r="E30" s="259"/>
      <c r="F30" s="259"/>
      <c r="G30" s="259"/>
      <c r="H30" s="259"/>
      <c r="I30" s="259"/>
      <c r="J30" s="34"/>
      <c r="K30" s="260"/>
    </row>
    <row r="31" spans="1:14" s="38" customFormat="1" ht="15" customHeight="1" thickBot="1" x14ac:dyDescent="0.35">
      <c r="A31" s="261" t="s">
        <v>27</v>
      </c>
      <c r="B31" s="261"/>
      <c r="C31" s="261"/>
      <c r="D31" s="261"/>
      <c r="E31" s="261"/>
      <c r="F31" s="261"/>
      <c r="G31" s="261"/>
      <c r="H31" s="261"/>
      <c r="I31" s="261"/>
      <c r="J31" s="261"/>
      <c r="K31" s="261"/>
    </row>
    <row r="32" spans="1:14" s="25" customFormat="1" ht="15" customHeight="1" x14ac:dyDescent="0.25">
      <c r="A32" s="39" t="s">
        <v>0</v>
      </c>
      <c r="B32" s="40">
        <v>44986</v>
      </c>
      <c r="C32" s="40">
        <v>44991</v>
      </c>
      <c r="D32" s="40">
        <v>44995</v>
      </c>
      <c r="E32" s="40">
        <v>44998</v>
      </c>
      <c r="F32" s="40">
        <v>45004</v>
      </c>
      <c r="G32" s="40">
        <v>45007</v>
      </c>
      <c r="H32" s="40">
        <v>45013</v>
      </c>
      <c r="I32" s="40">
        <v>45016</v>
      </c>
      <c r="J32" s="40"/>
      <c r="K32" s="41" t="s">
        <v>1</v>
      </c>
    </row>
    <row r="33" spans="1:11" s="25" customFormat="1" ht="15" customHeight="1" x14ac:dyDescent="0.25">
      <c r="A33" s="33" t="s">
        <v>22</v>
      </c>
      <c r="B33" s="34"/>
      <c r="C33" s="34"/>
      <c r="D33" s="34"/>
      <c r="E33" s="34"/>
      <c r="F33" s="34"/>
      <c r="G33" s="34"/>
      <c r="H33" s="34"/>
      <c r="I33" s="34">
        <f>75000-35800</f>
        <v>39200</v>
      </c>
      <c r="J33" s="34"/>
      <c r="K33" s="34">
        <f t="shared" ref="K33:K43" si="5">SUM(B33:I33)</f>
        <v>39200</v>
      </c>
    </row>
    <row r="34" spans="1:11" s="25" customFormat="1" ht="15" customHeight="1" x14ac:dyDescent="0.25">
      <c r="A34" s="33" t="s">
        <v>24</v>
      </c>
      <c r="B34" s="34"/>
      <c r="C34" s="35"/>
      <c r="D34" s="34"/>
      <c r="E34" s="35"/>
      <c r="F34" s="35"/>
      <c r="G34" s="35"/>
      <c r="H34" s="35"/>
      <c r="I34" s="35">
        <v>20010</v>
      </c>
      <c r="J34" s="35"/>
      <c r="K34" s="34">
        <f t="shared" si="5"/>
        <v>20010</v>
      </c>
    </row>
    <row r="35" spans="1:11" s="25" customFormat="1" ht="15" customHeight="1" x14ac:dyDescent="0.25">
      <c r="A35" s="33" t="s">
        <v>3</v>
      </c>
      <c r="B35" s="35"/>
      <c r="C35" s="34">
        <v>17600</v>
      </c>
      <c r="D35" s="34">
        <v>3703.79</v>
      </c>
      <c r="E35" s="35"/>
      <c r="F35" s="35"/>
      <c r="G35" s="35"/>
      <c r="H35" s="35"/>
      <c r="I35" s="35"/>
      <c r="J35" s="35"/>
      <c r="K35" s="34">
        <f t="shared" si="5"/>
        <v>21303.79</v>
      </c>
    </row>
    <row r="36" spans="1:11" s="25" customFormat="1" ht="15" customHeight="1" x14ac:dyDescent="0.25">
      <c r="A36" s="33" t="s">
        <v>39</v>
      </c>
      <c r="B36" s="34">
        <v>32881.5</v>
      </c>
      <c r="C36" s="34"/>
      <c r="D36" s="34"/>
      <c r="E36" s="34"/>
      <c r="F36" s="34"/>
      <c r="G36" s="34"/>
      <c r="H36" s="34">
        <f>92+1347+16445+32881.5</f>
        <v>50765.5</v>
      </c>
      <c r="I36" s="34"/>
      <c r="J36" s="34"/>
      <c r="K36" s="34">
        <f t="shared" si="5"/>
        <v>83647</v>
      </c>
    </row>
    <row r="37" spans="1:11" s="25" customFormat="1" ht="15" customHeight="1" x14ac:dyDescent="0.25">
      <c r="A37" s="33" t="s">
        <v>5</v>
      </c>
      <c r="B37" s="35"/>
      <c r="C37" s="34"/>
      <c r="D37" s="34"/>
      <c r="E37" s="35"/>
      <c r="F37" s="35"/>
      <c r="G37" s="35">
        <v>163836</v>
      </c>
      <c r="H37" s="35"/>
      <c r="I37" s="35"/>
      <c r="J37" s="35"/>
      <c r="K37" s="34">
        <f t="shared" si="5"/>
        <v>163836</v>
      </c>
    </row>
    <row r="38" spans="1:11" s="25" customFormat="1" ht="15" customHeight="1" x14ac:dyDescent="0.25">
      <c r="A38" s="33" t="s">
        <v>21</v>
      </c>
      <c r="B38" s="34"/>
      <c r="C38" s="35"/>
      <c r="D38" s="35"/>
      <c r="E38" s="35"/>
      <c r="F38" s="35"/>
      <c r="G38" s="35"/>
      <c r="H38" s="35"/>
      <c r="I38" s="35">
        <v>40020</v>
      </c>
      <c r="J38" s="35"/>
      <c r="K38" s="34">
        <f t="shared" si="5"/>
        <v>40020</v>
      </c>
    </row>
    <row r="39" spans="1:11" s="25" customFormat="1" ht="15" customHeight="1" x14ac:dyDescent="0.25">
      <c r="A39" s="33" t="s">
        <v>8</v>
      </c>
      <c r="B39" s="35"/>
      <c r="C39" s="34"/>
      <c r="D39" s="34"/>
      <c r="E39" s="35"/>
      <c r="F39" s="35">
        <v>14162</v>
      </c>
      <c r="G39" s="35"/>
      <c r="H39" s="35"/>
      <c r="I39" s="35"/>
      <c r="J39" s="35"/>
      <c r="K39" s="34">
        <f t="shared" si="5"/>
        <v>14162</v>
      </c>
    </row>
    <row r="40" spans="1:11" s="25" customFormat="1" ht="15" customHeight="1" x14ac:dyDescent="0.25">
      <c r="A40" s="33" t="s">
        <v>4</v>
      </c>
      <c r="B40" s="35"/>
      <c r="C40" s="34">
        <v>9000</v>
      </c>
      <c r="D40" s="34">
        <v>9000</v>
      </c>
      <c r="E40" s="35">
        <v>9000</v>
      </c>
      <c r="F40" s="35"/>
      <c r="G40" s="35"/>
      <c r="H40" s="35"/>
      <c r="I40" s="35"/>
      <c r="J40" s="35"/>
      <c r="K40" s="34">
        <f t="shared" si="5"/>
        <v>27000</v>
      </c>
    </row>
    <row r="41" spans="1:11" s="25" customFormat="1" ht="15" customHeight="1" x14ac:dyDescent="0.25">
      <c r="A41" s="33" t="s">
        <v>2</v>
      </c>
      <c r="B41" s="35"/>
      <c r="C41" s="34"/>
      <c r="D41" s="34"/>
      <c r="E41" s="35">
        <v>57.02</v>
      </c>
      <c r="F41" s="35">
        <v>1290</v>
      </c>
      <c r="G41" s="35"/>
      <c r="H41" s="35"/>
      <c r="I41" s="35">
        <v>50.03</v>
      </c>
      <c r="J41" s="35"/>
      <c r="K41" s="34">
        <f t="shared" si="5"/>
        <v>1397.05</v>
      </c>
    </row>
    <row r="42" spans="1:11" s="25" customFormat="1" ht="15" customHeight="1" x14ac:dyDescent="0.25">
      <c r="A42" s="33" t="s">
        <v>23</v>
      </c>
      <c r="B42" s="34"/>
      <c r="C42" s="34"/>
      <c r="D42" s="34"/>
      <c r="E42" s="34"/>
      <c r="F42" s="34"/>
      <c r="G42" s="34"/>
      <c r="H42" s="34"/>
      <c r="I42" s="34">
        <v>35800</v>
      </c>
      <c r="J42" s="34"/>
      <c r="K42" s="34">
        <f t="shared" si="5"/>
        <v>35800</v>
      </c>
    </row>
    <row r="43" spans="1:11" s="25" customFormat="1" ht="15" customHeight="1" x14ac:dyDescent="0.25">
      <c r="A43" s="33" t="s">
        <v>6</v>
      </c>
      <c r="B43" s="34"/>
      <c r="C43" s="35"/>
      <c r="D43" s="35"/>
      <c r="E43" s="34"/>
      <c r="F43" s="34"/>
      <c r="G43" s="34"/>
      <c r="H43" s="34"/>
      <c r="I43" s="34"/>
      <c r="J43" s="34"/>
      <c r="K43" s="34">
        <f t="shared" si="5"/>
        <v>0</v>
      </c>
    </row>
    <row r="44" spans="1:11" s="25" customFormat="1" ht="15" customHeight="1" x14ac:dyDescent="0.25">
      <c r="A44" s="258" t="s">
        <v>7</v>
      </c>
      <c r="B44" s="259"/>
      <c r="C44" s="259"/>
      <c r="D44" s="259"/>
      <c r="E44" s="259"/>
      <c r="F44" s="259"/>
      <c r="G44" s="259"/>
      <c r="H44" s="259"/>
      <c r="I44" s="259"/>
      <c r="J44" s="34"/>
      <c r="K44" s="260">
        <f>SUM(K33:K43)</f>
        <v>446375.84</v>
      </c>
    </row>
    <row r="45" spans="1:11" s="25" customFormat="1" ht="15" customHeight="1" x14ac:dyDescent="0.25">
      <c r="A45" s="258"/>
      <c r="B45" s="259"/>
      <c r="C45" s="259"/>
      <c r="D45" s="259"/>
      <c r="E45" s="259"/>
      <c r="F45" s="259"/>
      <c r="G45" s="259"/>
      <c r="H45" s="259"/>
      <c r="I45" s="259"/>
      <c r="J45" s="34"/>
      <c r="K45" s="260"/>
    </row>
    <row r="46" spans="1:11" s="38" customFormat="1" ht="15" customHeight="1" thickBot="1" x14ac:dyDescent="0.35">
      <c r="A46" s="262" t="s">
        <v>28</v>
      </c>
      <c r="B46" s="262"/>
      <c r="C46" s="262"/>
      <c r="D46" s="262"/>
      <c r="E46" s="262"/>
      <c r="F46" s="262"/>
      <c r="G46" s="262"/>
      <c r="H46" s="262"/>
      <c r="I46" s="262"/>
      <c r="J46" s="262"/>
      <c r="K46" s="262"/>
    </row>
    <row r="47" spans="1:11" s="25" customFormat="1" ht="15" customHeight="1" thickBot="1" x14ac:dyDescent="0.3">
      <c r="A47" s="42" t="s">
        <v>0</v>
      </c>
      <c r="B47" s="43">
        <v>45024</v>
      </c>
      <c r="C47" s="43">
        <v>45025</v>
      </c>
      <c r="D47" s="43">
        <v>45026</v>
      </c>
      <c r="E47" s="43">
        <v>45027</v>
      </c>
      <c r="F47" s="43">
        <v>45033</v>
      </c>
      <c r="G47" s="43">
        <v>45035</v>
      </c>
      <c r="H47" s="43">
        <v>45044</v>
      </c>
      <c r="I47" s="43">
        <v>45046</v>
      </c>
      <c r="J47" s="44"/>
      <c r="K47" s="28" t="s">
        <v>1</v>
      </c>
    </row>
    <row r="48" spans="1:11" s="25" customFormat="1" ht="15" customHeight="1" x14ac:dyDescent="0.25">
      <c r="A48" s="33" t="s">
        <v>22</v>
      </c>
      <c r="B48" s="32"/>
      <c r="C48" s="30"/>
      <c r="D48" s="30"/>
      <c r="E48" s="30"/>
      <c r="F48" s="30"/>
      <c r="G48" s="30"/>
      <c r="H48" s="30"/>
      <c r="I48" s="30">
        <v>39200</v>
      </c>
      <c r="J48" s="30"/>
      <c r="K48" s="32">
        <f t="shared" ref="K48:K58" si="6">SUM(B48:I48)</f>
        <v>39200</v>
      </c>
    </row>
    <row r="49" spans="1:11" s="25" customFormat="1" ht="15" customHeight="1" x14ac:dyDescent="0.25">
      <c r="A49" s="33" t="s">
        <v>24</v>
      </c>
      <c r="B49" s="34"/>
      <c r="C49" s="35"/>
      <c r="D49" s="34"/>
      <c r="E49" s="35"/>
      <c r="F49" s="35"/>
      <c r="G49" s="35"/>
      <c r="H49" s="35"/>
      <c r="I49" s="35">
        <v>30015</v>
      </c>
      <c r="J49" s="35"/>
      <c r="K49" s="34">
        <f t="shared" si="6"/>
        <v>30015</v>
      </c>
    </row>
    <row r="50" spans="1:11" s="25" customFormat="1" ht="15" customHeight="1" x14ac:dyDescent="0.25">
      <c r="A50" s="33" t="s">
        <v>3</v>
      </c>
      <c r="B50" s="34">
        <v>35200</v>
      </c>
      <c r="C50" s="34"/>
      <c r="D50" s="34">
        <v>3703.79</v>
      </c>
      <c r="E50" s="34"/>
      <c r="F50" s="34"/>
      <c r="G50" s="34"/>
      <c r="H50" s="34"/>
      <c r="I50" s="34"/>
      <c r="J50" s="34"/>
      <c r="K50" s="34">
        <f t="shared" si="6"/>
        <v>38903.79</v>
      </c>
    </row>
    <row r="51" spans="1:11" s="25" customFormat="1" ht="15" customHeight="1" x14ac:dyDescent="0.25">
      <c r="A51" s="33" t="s">
        <v>39</v>
      </c>
      <c r="B51" s="35"/>
      <c r="C51" s="34"/>
      <c r="D51" s="34"/>
      <c r="E51" s="35"/>
      <c r="F51" s="35"/>
      <c r="G51" s="35"/>
      <c r="H51" s="35">
        <v>49326.5</v>
      </c>
      <c r="I51" s="35"/>
      <c r="J51" s="35"/>
      <c r="K51" s="34">
        <f t="shared" si="6"/>
        <v>49326.5</v>
      </c>
    </row>
    <row r="52" spans="1:11" s="25" customFormat="1" ht="15" customHeight="1" x14ac:dyDescent="0.25">
      <c r="A52" s="33" t="s">
        <v>5</v>
      </c>
      <c r="B52" s="35"/>
      <c r="C52" s="34"/>
      <c r="D52" s="34"/>
      <c r="E52" s="35"/>
      <c r="F52" s="35">
        <v>205771.5</v>
      </c>
      <c r="G52" s="35"/>
      <c r="H52" s="35"/>
      <c r="I52" s="35"/>
      <c r="J52" s="35"/>
      <c r="K52" s="34">
        <f t="shared" si="6"/>
        <v>205771.5</v>
      </c>
    </row>
    <row r="53" spans="1:11" s="25" customFormat="1" ht="15" customHeight="1" x14ac:dyDescent="0.25">
      <c r="A53" s="33" t="s">
        <v>21</v>
      </c>
      <c r="B53" s="35"/>
      <c r="C53" s="35"/>
      <c r="D53" s="35"/>
      <c r="E53" s="35"/>
      <c r="F53" s="35"/>
      <c r="G53" s="36"/>
      <c r="H53" s="35"/>
      <c r="I53" s="35">
        <v>40020</v>
      </c>
      <c r="J53" s="35"/>
      <c r="K53" s="34">
        <f t="shared" si="6"/>
        <v>40020</v>
      </c>
    </row>
    <row r="54" spans="1:11" s="25" customFormat="1" ht="15" customHeight="1" x14ac:dyDescent="0.25">
      <c r="A54" s="33" t="s">
        <v>8</v>
      </c>
      <c r="B54" s="35"/>
      <c r="C54" s="34"/>
      <c r="D54" s="34"/>
      <c r="E54" s="35"/>
      <c r="F54" s="35"/>
      <c r="G54" s="35"/>
      <c r="H54" s="35"/>
      <c r="I54" s="35"/>
      <c r="J54" s="35"/>
      <c r="K54" s="34">
        <f t="shared" si="6"/>
        <v>0</v>
      </c>
    </row>
    <row r="55" spans="1:11" s="25" customFormat="1" ht="15" customHeight="1" x14ac:dyDescent="0.25">
      <c r="A55" s="33" t="s">
        <v>4</v>
      </c>
      <c r="B55" s="35"/>
      <c r="C55" s="34"/>
      <c r="D55" s="34"/>
      <c r="E55" s="35"/>
      <c r="F55" s="35"/>
      <c r="G55" s="35"/>
      <c r="H55" s="35"/>
      <c r="I55" s="35"/>
      <c r="J55" s="35"/>
      <c r="K55" s="34"/>
    </row>
    <row r="56" spans="1:11" s="25" customFormat="1" ht="15" customHeight="1" x14ac:dyDescent="0.25">
      <c r="A56" s="33" t="s">
        <v>2</v>
      </c>
      <c r="B56" s="35"/>
      <c r="C56" s="34">
        <v>663</v>
      </c>
      <c r="D56" s="34"/>
      <c r="E56" s="35">
        <v>60.04</v>
      </c>
      <c r="F56" s="35">
        <v>92</v>
      </c>
      <c r="G56" s="35">
        <v>1290</v>
      </c>
      <c r="H56" s="35"/>
      <c r="I56" s="35">
        <v>50.03</v>
      </c>
      <c r="J56" s="35"/>
      <c r="K56" s="34">
        <f t="shared" si="6"/>
        <v>2155.0700000000002</v>
      </c>
    </row>
    <row r="57" spans="1:11" s="25" customFormat="1" ht="15" customHeight="1" x14ac:dyDescent="0.25">
      <c r="A57" s="33" t="s">
        <v>23</v>
      </c>
      <c r="B57" s="34"/>
      <c r="C57" s="35"/>
      <c r="D57" s="35"/>
      <c r="E57" s="34"/>
      <c r="F57" s="34"/>
      <c r="G57" s="34"/>
      <c r="H57" s="34"/>
      <c r="I57" s="34">
        <v>35800</v>
      </c>
      <c r="J57" s="34"/>
      <c r="K57" s="34">
        <f t="shared" si="6"/>
        <v>35800</v>
      </c>
    </row>
    <row r="58" spans="1:11" s="25" customFormat="1" ht="15" customHeight="1" x14ac:dyDescent="0.25">
      <c r="A58" s="33" t="s">
        <v>6</v>
      </c>
      <c r="B58" s="34"/>
      <c r="C58" s="34"/>
      <c r="D58" s="34"/>
      <c r="E58" s="34"/>
      <c r="F58" s="34"/>
      <c r="G58" s="34"/>
      <c r="H58" s="34"/>
      <c r="I58" s="34"/>
      <c r="J58" s="34"/>
      <c r="K58" s="34">
        <f t="shared" si="6"/>
        <v>0</v>
      </c>
    </row>
    <row r="59" spans="1:11" s="25" customFormat="1" ht="15" customHeight="1" x14ac:dyDescent="0.25">
      <c r="A59" s="258" t="s">
        <v>7</v>
      </c>
      <c r="B59" s="259">
        <f t="shared" ref="B59:K59" si="7">SUM(B48:B58)</f>
        <v>35200</v>
      </c>
      <c r="C59" s="259">
        <f t="shared" si="7"/>
        <v>663</v>
      </c>
      <c r="D59" s="259">
        <f t="shared" si="7"/>
        <v>3703.79</v>
      </c>
      <c r="E59" s="259">
        <f t="shared" si="7"/>
        <v>60.04</v>
      </c>
      <c r="F59" s="259">
        <f t="shared" si="7"/>
        <v>205863.5</v>
      </c>
      <c r="G59" s="259">
        <f t="shared" si="7"/>
        <v>1290</v>
      </c>
      <c r="H59" s="259">
        <f t="shared" si="7"/>
        <v>49326.5</v>
      </c>
      <c r="I59" s="259">
        <f t="shared" si="7"/>
        <v>145085.03</v>
      </c>
      <c r="J59" s="259">
        <f t="shared" si="7"/>
        <v>0</v>
      </c>
      <c r="K59" s="260">
        <f t="shared" si="7"/>
        <v>441191.86000000004</v>
      </c>
    </row>
    <row r="60" spans="1:11" s="25" customFormat="1" ht="15" customHeight="1" x14ac:dyDescent="0.25">
      <c r="A60" s="258"/>
      <c r="B60" s="259"/>
      <c r="C60" s="259"/>
      <c r="D60" s="259"/>
      <c r="E60" s="259"/>
      <c r="F60" s="259"/>
      <c r="G60" s="259"/>
      <c r="H60" s="259"/>
      <c r="I60" s="259"/>
      <c r="J60" s="259"/>
      <c r="K60" s="260"/>
    </row>
    <row r="61" spans="1:11" s="38" customFormat="1" ht="15" customHeight="1" thickBot="1" x14ac:dyDescent="0.35">
      <c r="A61" s="262" t="s">
        <v>29</v>
      </c>
      <c r="B61" s="262"/>
      <c r="C61" s="262"/>
      <c r="D61" s="262"/>
      <c r="E61" s="262"/>
      <c r="F61" s="262"/>
      <c r="G61" s="262"/>
      <c r="H61" s="262"/>
      <c r="I61" s="262"/>
      <c r="J61" s="262"/>
      <c r="K61" s="262"/>
    </row>
    <row r="62" spans="1:11" s="25" customFormat="1" ht="15" customHeight="1" thickBot="1" x14ac:dyDescent="0.3">
      <c r="A62" s="26" t="s">
        <v>0</v>
      </c>
      <c r="B62" s="27">
        <v>45050</v>
      </c>
      <c r="C62" s="27">
        <v>45056</v>
      </c>
      <c r="D62" s="27">
        <v>45057</v>
      </c>
      <c r="E62" s="27">
        <v>45058</v>
      </c>
      <c r="F62" s="27">
        <v>45061</v>
      </c>
      <c r="G62" s="27">
        <v>45065</v>
      </c>
      <c r="H62" s="27">
        <v>45066</v>
      </c>
      <c r="I62" s="27">
        <v>45075</v>
      </c>
      <c r="J62" s="27">
        <v>45077</v>
      </c>
      <c r="K62" s="28" t="s">
        <v>1</v>
      </c>
    </row>
    <row r="63" spans="1:11" s="25" customFormat="1" ht="15" customHeight="1" x14ac:dyDescent="0.25">
      <c r="A63" s="45" t="s">
        <v>22</v>
      </c>
      <c r="B63" s="32"/>
      <c r="C63" s="30"/>
      <c r="D63" s="30"/>
      <c r="E63" s="30"/>
      <c r="F63" s="30"/>
      <c r="G63" s="30"/>
      <c r="H63" s="30"/>
      <c r="I63" s="30"/>
      <c r="J63" s="34">
        <f>75000-35800</f>
        <v>39200</v>
      </c>
      <c r="K63" s="46">
        <f>SUM(B63:J63)</f>
        <v>39200</v>
      </c>
    </row>
    <row r="64" spans="1:11" s="25" customFormat="1" ht="15" customHeight="1" x14ac:dyDescent="0.25">
      <c r="A64" s="45" t="s">
        <v>24</v>
      </c>
      <c r="B64" s="34"/>
      <c r="C64" s="35"/>
      <c r="D64" s="34"/>
      <c r="E64" s="35"/>
      <c r="F64" s="35"/>
      <c r="G64" s="35"/>
      <c r="H64" s="35"/>
      <c r="I64" s="35"/>
      <c r="J64" s="35">
        <v>10005</v>
      </c>
      <c r="K64" s="46">
        <f t="shared" ref="K64:K72" si="8">SUM(B64:J64)</f>
        <v>10005</v>
      </c>
    </row>
    <row r="65" spans="1:11" s="25" customFormat="1" ht="15" customHeight="1" x14ac:dyDescent="0.25">
      <c r="A65" s="45" t="s">
        <v>3</v>
      </c>
      <c r="B65" s="34">
        <v>110000</v>
      </c>
      <c r="C65" s="34">
        <v>3703.79</v>
      </c>
      <c r="D65" s="34"/>
      <c r="E65" s="34"/>
      <c r="F65" s="34"/>
      <c r="G65" s="34"/>
      <c r="H65" s="34"/>
      <c r="I65" s="34"/>
      <c r="J65" s="35"/>
      <c r="K65" s="46">
        <f t="shared" si="8"/>
        <v>113703.79</v>
      </c>
    </row>
    <row r="66" spans="1:11" s="25" customFormat="1" ht="15" customHeight="1" x14ac:dyDescent="0.25">
      <c r="A66" s="45" t="s">
        <v>39</v>
      </c>
      <c r="B66" s="35"/>
      <c r="C66" s="34"/>
      <c r="D66" s="34"/>
      <c r="E66" s="35"/>
      <c r="F66" s="35">
        <v>2116</v>
      </c>
      <c r="G66" s="35"/>
      <c r="H66" s="35"/>
      <c r="I66" s="35">
        <v>49326.5</v>
      </c>
      <c r="J66" s="34"/>
      <c r="K66" s="46">
        <f t="shared" si="8"/>
        <v>51442.5</v>
      </c>
    </row>
    <row r="67" spans="1:11" s="25" customFormat="1" ht="15" customHeight="1" x14ac:dyDescent="0.25">
      <c r="A67" s="45" t="s">
        <v>5</v>
      </c>
      <c r="B67" s="35"/>
      <c r="C67" s="34"/>
      <c r="D67" s="34"/>
      <c r="E67" s="35">
        <v>133078.5</v>
      </c>
      <c r="F67" s="35"/>
      <c r="G67" s="35"/>
      <c r="H67" s="35"/>
      <c r="I67" s="35"/>
      <c r="J67" s="35"/>
      <c r="K67" s="46">
        <f t="shared" si="8"/>
        <v>133078.5</v>
      </c>
    </row>
    <row r="68" spans="1:11" s="25" customFormat="1" ht="15" customHeight="1" x14ac:dyDescent="0.25">
      <c r="A68" s="45" t="s">
        <v>21</v>
      </c>
      <c r="B68" s="35"/>
      <c r="C68" s="34"/>
      <c r="D68" s="34"/>
      <c r="E68" s="35"/>
      <c r="F68" s="35"/>
      <c r="G68" s="35"/>
      <c r="H68" s="35"/>
      <c r="I68" s="35"/>
      <c r="J68" s="35">
        <v>40020</v>
      </c>
      <c r="K68" s="46">
        <f t="shared" si="8"/>
        <v>40020</v>
      </c>
    </row>
    <row r="69" spans="1:11" s="25" customFormat="1" ht="15" customHeight="1" x14ac:dyDescent="0.25">
      <c r="A69" s="45" t="s">
        <v>8</v>
      </c>
      <c r="B69" s="35"/>
      <c r="C69" s="35"/>
      <c r="D69" s="35"/>
      <c r="E69" s="35"/>
      <c r="F69" s="35">
        <v>11081</v>
      </c>
      <c r="G69" s="36"/>
      <c r="H69" s="35">
        <v>4000</v>
      </c>
      <c r="I69" s="35"/>
      <c r="J69" s="35"/>
      <c r="K69" s="46">
        <f t="shared" si="8"/>
        <v>15081</v>
      </c>
    </row>
    <row r="70" spans="1:11" s="25" customFormat="1" ht="15" customHeight="1" x14ac:dyDescent="0.25">
      <c r="A70" s="45" t="s">
        <v>4</v>
      </c>
      <c r="B70" s="35"/>
      <c r="C70" s="35"/>
      <c r="D70" s="35"/>
      <c r="E70" s="35"/>
      <c r="F70" s="35"/>
      <c r="G70" s="36"/>
      <c r="H70" s="35"/>
      <c r="I70" s="35"/>
      <c r="J70" s="35"/>
      <c r="K70" s="46">
        <f t="shared" si="8"/>
        <v>0</v>
      </c>
    </row>
    <row r="71" spans="1:11" s="25" customFormat="1" ht="15" customHeight="1" x14ac:dyDescent="0.25">
      <c r="A71" s="45" t="s">
        <v>2</v>
      </c>
      <c r="B71" s="35"/>
      <c r="C71" s="34">
        <v>618</v>
      </c>
      <c r="D71" s="34">
        <v>60.04</v>
      </c>
      <c r="E71" s="35"/>
      <c r="F71" s="35"/>
      <c r="G71" s="35">
        <v>1290</v>
      </c>
      <c r="H71" s="35"/>
      <c r="I71" s="35"/>
      <c r="J71" s="35">
        <v>50.03</v>
      </c>
      <c r="K71" s="46">
        <f t="shared" si="8"/>
        <v>2018.07</v>
      </c>
    </row>
    <row r="72" spans="1:11" s="25" customFormat="1" ht="15" customHeight="1" x14ac:dyDescent="0.25">
      <c r="A72" s="45" t="s">
        <v>23</v>
      </c>
      <c r="B72" s="34"/>
      <c r="C72" s="35"/>
      <c r="D72" s="35"/>
      <c r="E72" s="34"/>
      <c r="F72" s="34"/>
      <c r="G72" s="34"/>
      <c r="H72" s="34"/>
      <c r="I72" s="34"/>
      <c r="J72" s="34">
        <v>35800</v>
      </c>
      <c r="K72" s="46">
        <f t="shared" si="8"/>
        <v>35800</v>
      </c>
    </row>
    <row r="73" spans="1:11" s="25" customFormat="1" ht="15" customHeight="1" x14ac:dyDescent="0.25">
      <c r="A73" s="266" t="s">
        <v>7</v>
      </c>
      <c r="B73" s="259">
        <f t="shared" ref="B73:K73" si="9">SUM(B63:B72)</f>
        <v>110000</v>
      </c>
      <c r="C73" s="259">
        <f t="shared" si="9"/>
        <v>4321.79</v>
      </c>
      <c r="D73" s="259">
        <f t="shared" si="9"/>
        <v>60.04</v>
      </c>
      <c r="E73" s="259">
        <f t="shared" si="9"/>
        <v>133078.5</v>
      </c>
      <c r="F73" s="259">
        <f t="shared" si="9"/>
        <v>13197</v>
      </c>
      <c r="G73" s="259">
        <f t="shared" si="9"/>
        <v>1290</v>
      </c>
      <c r="H73" s="259">
        <f t="shared" si="9"/>
        <v>4000</v>
      </c>
      <c r="I73" s="259">
        <f t="shared" si="9"/>
        <v>49326.5</v>
      </c>
      <c r="J73" s="259">
        <f t="shared" si="9"/>
        <v>125075.03</v>
      </c>
      <c r="K73" s="264">
        <f t="shared" si="9"/>
        <v>440348.86</v>
      </c>
    </row>
    <row r="74" spans="1:11" s="25" customFormat="1" ht="15" customHeight="1" thickBot="1" x14ac:dyDescent="0.3">
      <c r="A74" s="267"/>
      <c r="B74" s="263"/>
      <c r="C74" s="263"/>
      <c r="D74" s="263"/>
      <c r="E74" s="263"/>
      <c r="F74" s="263"/>
      <c r="G74" s="263"/>
      <c r="H74" s="263"/>
      <c r="I74" s="263"/>
      <c r="J74" s="263"/>
      <c r="K74" s="265"/>
    </row>
    <row r="75" spans="1:11" s="38" customFormat="1" ht="15" customHeight="1" thickBot="1" x14ac:dyDescent="0.35">
      <c r="A75" s="262" t="s">
        <v>30</v>
      </c>
      <c r="B75" s="262"/>
      <c r="C75" s="262"/>
      <c r="D75" s="262"/>
      <c r="E75" s="262"/>
      <c r="F75" s="262"/>
      <c r="G75" s="262"/>
      <c r="H75" s="262"/>
      <c r="I75" s="262"/>
      <c r="J75" s="262"/>
      <c r="K75" s="262"/>
    </row>
    <row r="76" spans="1:11" s="25" customFormat="1" ht="15" customHeight="1" thickBot="1" x14ac:dyDescent="0.3">
      <c r="A76" s="26" t="s">
        <v>0</v>
      </c>
      <c r="B76" s="27">
        <v>45080</v>
      </c>
      <c r="C76" s="27">
        <v>45083</v>
      </c>
      <c r="D76" s="27">
        <v>45085</v>
      </c>
      <c r="E76" s="27">
        <v>45090</v>
      </c>
      <c r="F76" s="27">
        <v>45094</v>
      </c>
      <c r="G76" s="27">
        <v>45095</v>
      </c>
      <c r="H76" s="27">
        <v>45096</v>
      </c>
      <c r="I76" s="27">
        <v>45107</v>
      </c>
      <c r="J76" s="27"/>
      <c r="K76" s="28" t="s">
        <v>1</v>
      </c>
    </row>
    <row r="77" spans="1:11" s="25" customFormat="1" ht="15" customHeight="1" x14ac:dyDescent="0.25">
      <c r="A77" s="33" t="s">
        <v>22</v>
      </c>
      <c r="B77" s="32"/>
      <c r="C77" s="30"/>
      <c r="D77" s="30"/>
      <c r="E77" s="30"/>
      <c r="F77" s="30"/>
      <c r="G77" s="30"/>
      <c r="H77" s="30"/>
      <c r="I77" s="30"/>
      <c r="J77" s="30"/>
      <c r="K77" s="32">
        <f t="shared" ref="K77:K87" si="10">SUM(B77:I77)</f>
        <v>0</v>
      </c>
    </row>
    <row r="78" spans="1:11" s="25" customFormat="1" ht="15" customHeight="1" x14ac:dyDescent="0.25">
      <c r="A78" s="33" t="s">
        <v>24</v>
      </c>
      <c r="B78" s="34"/>
      <c r="C78" s="35"/>
      <c r="D78" s="34"/>
      <c r="E78" s="35"/>
      <c r="F78" s="35"/>
      <c r="G78" s="35"/>
      <c r="H78" s="35"/>
      <c r="I78" s="35">
        <v>20010</v>
      </c>
      <c r="J78" s="35"/>
      <c r="K78" s="34">
        <f t="shared" si="10"/>
        <v>20010</v>
      </c>
    </row>
    <row r="79" spans="1:11" s="25" customFormat="1" ht="15" customHeight="1" x14ac:dyDescent="0.25">
      <c r="A79" s="33" t="s">
        <v>3</v>
      </c>
      <c r="B79" s="34">
        <v>79200</v>
      </c>
      <c r="C79" s="34"/>
      <c r="D79" s="34">
        <v>4629.74</v>
      </c>
      <c r="E79" s="34"/>
      <c r="F79" s="34"/>
      <c r="G79" s="34"/>
      <c r="H79" s="34"/>
      <c r="I79" s="34"/>
      <c r="J79" s="34"/>
      <c r="K79" s="34">
        <f t="shared" si="10"/>
        <v>83829.740000000005</v>
      </c>
    </row>
    <row r="80" spans="1:11" s="25" customFormat="1" ht="15" customHeight="1" x14ac:dyDescent="0.25">
      <c r="A80" s="33" t="s">
        <v>39</v>
      </c>
      <c r="B80" s="35"/>
      <c r="C80" s="34"/>
      <c r="D80" s="34"/>
      <c r="E80" s="35"/>
      <c r="F80" s="35">
        <v>51442.5</v>
      </c>
      <c r="G80" s="35"/>
      <c r="H80" s="35"/>
      <c r="I80" s="35"/>
      <c r="J80" s="35"/>
      <c r="K80" s="34">
        <f t="shared" si="10"/>
        <v>51442.5</v>
      </c>
    </row>
    <row r="81" spans="1:11" s="25" customFormat="1" ht="15" customHeight="1" x14ac:dyDescent="0.25">
      <c r="A81" s="33" t="s">
        <v>5</v>
      </c>
      <c r="B81" s="35"/>
      <c r="C81" s="34"/>
      <c r="D81" s="34">
        <v>53109</v>
      </c>
      <c r="E81" s="35"/>
      <c r="F81" s="35"/>
      <c r="G81" s="35"/>
      <c r="H81" s="35"/>
      <c r="I81" s="35"/>
      <c r="J81" s="35"/>
      <c r="K81" s="34">
        <f t="shared" si="10"/>
        <v>53109</v>
      </c>
    </row>
    <row r="82" spans="1:11" s="25" customFormat="1" ht="15" customHeight="1" x14ac:dyDescent="0.25">
      <c r="A82" s="33" t="s">
        <v>21</v>
      </c>
      <c r="B82" s="35"/>
      <c r="C82" s="34"/>
      <c r="D82" s="34"/>
      <c r="E82" s="35"/>
      <c r="F82" s="35"/>
      <c r="G82" s="35"/>
      <c r="H82" s="35"/>
      <c r="I82" s="35">
        <v>40020</v>
      </c>
      <c r="J82" s="35"/>
      <c r="K82" s="34">
        <f t="shared" si="10"/>
        <v>40020</v>
      </c>
    </row>
    <row r="83" spans="1:11" s="25" customFormat="1" ht="15" customHeight="1" x14ac:dyDescent="0.25">
      <c r="A83" s="33" t="s">
        <v>8</v>
      </c>
      <c r="B83" s="35"/>
      <c r="C83" s="35">
        <v>7081</v>
      </c>
      <c r="D83" s="35"/>
      <c r="E83" s="35"/>
      <c r="F83" s="35"/>
      <c r="G83" s="36"/>
      <c r="H83" s="35"/>
      <c r="I83" s="35"/>
      <c r="J83" s="35"/>
      <c r="K83" s="34">
        <f t="shared" si="10"/>
        <v>7081</v>
      </c>
    </row>
    <row r="84" spans="1:11" s="25" customFormat="1" ht="15" customHeight="1" x14ac:dyDescent="0.25">
      <c r="A84" s="33" t="s">
        <v>4</v>
      </c>
      <c r="B84" s="35"/>
      <c r="C84" s="34"/>
      <c r="D84" s="34"/>
      <c r="E84" s="35"/>
      <c r="F84" s="35"/>
      <c r="G84" s="35"/>
      <c r="H84" s="35"/>
      <c r="I84" s="35"/>
      <c r="J84" s="35"/>
      <c r="K84" s="34">
        <f t="shared" si="10"/>
        <v>0</v>
      </c>
    </row>
    <row r="85" spans="1:11" s="25" customFormat="1" ht="15" customHeight="1" x14ac:dyDescent="0.25">
      <c r="A85" s="33" t="s">
        <v>2</v>
      </c>
      <c r="B85" s="35"/>
      <c r="C85" s="34"/>
      <c r="D85" s="34"/>
      <c r="E85" s="35">
        <v>60.04</v>
      </c>
      <c r="F85" s="35"/>
      <c r="G85" s="35">
        <v>108</v>
      </c>
      <c r="H85" s="35">
        <v>1290</v>
      </c>
      <c r="I85" s="35">
        <v>50.03</v>
      </c>
      <c r="J85" s="35"/>
      <c r="K85" s="34">
        <f t="shared" si="10"/>
        <v>1508.07</v>
      </c>
    </row>
    <row r="86" spans="1:11" s="25" customFormat="1" ht="15" customHeight="1" x14ac:dyDescent="0.25">
      <c r="A86" s="33" t="s">
        <v>23</v>
      </c>
      <c r="B86" s="34"/>
      <c r="C86" s="35"/>
      <c r="D86" s="35"/>
      <c r="E86" s="34"/>
      <c r="F86" s="34"/>
      <c r="G86" s="34"/>
      <c r="H86" s="34"/>
      <c r="I86" s="34"/>
      <c r="J86" s="34"/>
      <c r="K86" s="34">
        <f t="shared" si="10"/>
        <v>0</v>
      </c>
    </row>
    <row r="87" spans="1:11" s="25" customFormat="1" ht="15" customHeight="1" x14ac:dyDescent="0.25">
      <c r="A87" s="33" t="s">
        <v>6</v>
      </c>
      <c r="B87" s="34"/>
      <c r="C87" s="34"/>
      <c r="D87" s="34"/>
      <c r="E87" s="34"/>
      <c r="F87" s="34"/>
      <c r="G87" s="34"/>
      <c r="H87" s="34"/>
      <c r="I87" s="34"/>
      <c r="J87" s="34"/>
      <c r="K87" s="34">
        <f t="shared" si="10"/>
        <v>0</v>
      </c>
    </row>
    <row r="88" spans="1:11" s="25" customFormat="1" ht="15" customHeight="1" x14ac:dyDescent="0.25">
      <c r="A88" s="258" t="s">
        <v>7</v>
      </c>
      <c r="B88" s="259">
        <f t="shared" ref="B88:K88" si="11">SUM(B77:B87)</f>
        <v>79200</v>
      </c>
      <c r="C88" s="259">
        <f t="shared" si="11"/>
        <v>7081</v>
      </c>
      <c r="D88" s="259">
        <f t="shared" si="11"/>
        <v>57738.74</v>
      </c>
      <c r="E88" s="259">
        <f t="shared" si="11"/>
        <v>60.04</v>
      </c>
      <c r="F88" s="259">
        <f t="shared" si="11"/>
        <v>51442.5</v>
      </c>
      <c r="G88" s="259">
        <f t="shared" si="11"/>
        <v>108</v>
      </c>
      <c r="H88" s="259">
        <f t="shared" si="11"/>
        <v>1290</v>
      </c>
      <c r="I88" s="259">
        <f t="shared" si="11"/>
        <v>60080.03</v>
      </c>
      <c r="J88" s="259">
        <f t="shared" si="11"/>
        <v>0</v>
      </c>
      <c r="K88" s="260">
        <f t="shared" si="11"/>
        <v>257000.31</v>
      </c>
    </row>
    <row r="89" spans="1:11" s="25" customFormat="1" ht="15" customHeight="1" x14ac:dyDescent="0.25">
      <c r="A89" s="258"/>
      <c r="B89" s="259"/>
      <c r="C89" s="259"/>
      <c r="D89" s="259"/>
      <c r="E89" s="259"/>
      <c r="F89" s="259"/>
      <c r="G89" s="259"/>
      <c r="H89" s="259"/>
      <c r="I89" s="259"/>
      <c r="J89" s="259"/>
      <c r="K89" s="260"/>
    </row>
    <row r="90" spans="1:11" s="38" customFormat="1" ht="15" customHeight="1" thickBot="1" x14ac:dyDescent="0.35">
      <c r="A90" s="262" t="s">
        <v>31</v>
      </c>
      <c r="B90" s="262"/>
      <c r="C90" s="262"/>
      <c r="D90" s="262"/>
      <c r="E90" s="262"/>
      <c r="F90" s="262"/>
      <c r="G90" s="262"/>
      <c r="H90" s="262"/>
      <c r="I90" s="262"/>
      <c r="J90" s="262"/>
      <c r="K90" s="262"/>
    </row>
    <row r="91" spans="1:11" s="25" customFormat="1" ht="15" customHeight="1" thickBot="1" x14ac:dyDescent="0.3">
      <c r="A91" s="26" t="s">
        <v>0</v>
      </c>
      <c r="B91" s="27">
        <v>45111</v>
      </c>
      <c r="C91" s="27">
        <v>45113</v>
      </c>
      <c r="D91" s="27">
        <v>45117</v>
      </c>
      <c r="E91" s="27">
        <v>45118</v>
      </c>
      <c r="F91" s="27">
        <v>45126</v>
      </c>
      <c r="G91" s="27">
        <v>45135</v>
      </c>
      <c r="H91" s="27">
        <v>45138</v>
      </c>
      <c r="I91" s="27"/>
      <c r="J91" s="27"/>
      <c r="K91" s="28" t="s">
        <v>1</v>
      </c>
    </row>
    <row r="92" spans="1:11" s="25" customFormat="1" ht="15" customHeight="1" x14ac:dyDescent="0.25">
      <c r="A92" s="33" t="s">
        <v>22</v>
      </c>
      <c r="B92" s="32">
        <v>39200</v>
      </c>
      <c r="C92" s="30"/>
      <c r="D92" s="30"/>
      <c r="E92" s="30"/>
      <c r="F92" s="30"/>
      <c r="G92" s="30"/>
      <c r="H92" s="30">
        <v>39200</v>
      </c>
      <c r="I92" s="30"/>
      <c r="J92" s="30"/>
      <c r="K92" s="32">
        <f t="shared" ref="K92:K102" si="12">SUM(B92:I92)</f>
        <v>78400</v>
      </c>
    </row>
    <row r="93" spans="1:11" s="25" customFormat="1" ht="15" customHeight="1" x14ac:dyDescent="0.25">
      <c r="A93" s="33" t="s">
        <v>24</v>
      </c>
      <c r="B93" s="34"/>
      <c r="C93" s="35"/>
      <c r="D93" s="34"/>
      <c r="E93" s="35"/>
      <c r="F93" s="35"/>
      <c r="G93" s="35"/>
      <c r="H93" s="35">
        <v>20010</v>
      </c>
      <c r="I93" s="35"/>
      <c r="J93" s="35"/>
      <c r="K93" s="34">
        <f t="shared" si="12"/>
        <v>20010</v>
      </c>
    </row>
    <row r="94" spans="1:11" s="25" customFormat="1" ht="15" customHeight="1" x14ac:dyDescent="0.25">
      <c r="A94" s="33" t="s">
        <v>3</v>
      </c>
      <c r="B94" s="34"/>
      <c r="C94" s="34">
        <v>61600</v>
      </c>
      <c r="D94" s="34"/>
      <c r="E94" s="34"/>
      <c r="F94" s="34"/>
      <c r="G94" s="34"/>
      <c r="H94" s="34"/>
      <c r="I94" s="34"/>
      <c r="J94" s="34"/>
      <c r="K94" s="34">
        <f t="shared" si="12"/>
        <v>61600</v>
      </c>
    </row>
    <row r="95" spans="1:11" s="25" customFormat="1" ht="15" customHeight="1" x14ac:dyDescent="0.25">
      <c r="A95" s="33" t="s">
        <v>39</v>
      </c>
      <c r="B95" s="35"/>
      <c r="C95" s="34"/>
      <c r="D95" s="34"/>
      <c r="E95" s="35"/>
      <c r="F95" s="34"/>
      <c r="G95" s="34">
        <v>49326.5</v>
      </c>
      <c r="H95" s="34"/>
      <c r="I95" s="34"/>
      <c r="J95" s="34"/>
      <c r="K95" s="34">
        <f t="shared" si="12"/>
        <v>49326.5</v>
      </c>
    </row>
    <row r="96" spans="1:11" s="25" customFormat="1" ht="15" customHeight="1" x14ac:dyDescent="0.25">
      <c r="A96" s="33" t="s">
        <v>5</v>
      </c>
      <c r="B96" s="35"/>
      <c r="C96" s="34"/>
      <c r="D96" s="34"/>
      <c r="E96" s="35"/>
      <c r="F96" s="35"/>
      <c r="G96" s="35"/>
      <c r="H96" s="35"/>
      <c r="I96" s="35"/>
      <c r="J96" s="35"/>
      <c r="K96" s="34">
        <f t="shared" si="12"/>
        <v>0</v>
      </c>
    </row>
    <row r="97" spans="1:11" s="25" customFormat="1" ht="15" customHeight="1" x14ac:dyDescent="0.25">
      <c r="A97" s="33" t="s">
        <v>21</v>
      </c>
      <c r="B97" s="35"/>
      <c r="C97" s="34"/>
      <c r="D97" s="34"/>
      <c r="E97" s="35"/>
      <c r="F97" s="35"/>
      <c r="G97" s="35"/>
      <c r="H97" s="35">
        <v>40020</v>
      </c>
      <c r="I97" s="35"/>
      <c r="J97" s="35"/>
      <c r="K97" s="34">
        <f t="shared" si="12"/>
        <v>40020</v>
      </c>
    </row>
    <row r="98" spans="1:11" s="25" customFormat="1" ht="15" customHeight="1" x14ac:dyDescent="0.25">
      <c r="A98" s="33" t="s">
        <v>8</v>
      </c>
      <c r="B98" s="35"/>
      <c r="C98" s="35"/>
      <c r="D98" s="35">
        <v>11081</v>
      </c>
      <c r="E98" s="35"/>
      <c r="F98" s="35"/>
      <c r="G98" s="36"/>
      <c r="H98" s="35"/>
      <c r="I98" s="35"/>
      <c r="J98" s="35"/>
      <c r="K98" s="34">
        <f t="shared" si="12"/>
        <v>11081</v>
      </c>
    </row>
    <row r="99" spans="1:11" s="25" customFormat="1" ht="15" customHeight="1" x14ac:dyDescent="0.25">
      <c r="A99" s="33" t="s">
        <v>4</v>
      </c>
      <c r="B99" s="35"/>
      <c r="C99" s="34"/>
      <c r="D99" s="34"/>
      <c r="E99" s="35"/>
      <c r="F99" s="35"/>
      <c r="G99" s="35"/>
      <c r="H99" s="35"/>
      <c r="I99" s="35"/>
      <c r="J99" s="35"/>
      <c r="K99" s="34">
        <f t="shared" si="12"/>
        <v>0</v>
      </c>
    </row>
    <row r="100" spans="1:11" s="25" customFormat="1" ht="15" customHeight="1" x14ac:dyDescent="0.25">
      <c r="A100" s="33" t="s">
        <v>2</v>
      </c>
      <c r="B100" s="35"/>
      <c r="C100" s="34"/>
      <c r="D100" s="34">
        <v>708</v>
      </c>
      <c r="E100" s="35">
        <v>60.04</v>
      </c>
      <c r="F100" s="35">
        <v>1290</v>
      </c>
      <c r="G100" s="35"/>
      <c r="H100" s="35">
        <v>50.03</v>
      </c>
      <c r="I100" s="35"/>
      <c r="J100" s="35"/>
      <c r="K100" s="34">
        <f t="shared" si="12"/>
        <v>2108.0700000000002</v>
      </c>
    </row>
    <row r="101" spans="1:11" s="25" customFormat="1" ht="15" customHeight="1" x14ac:dyDescent="0.25">
      <c r="A101" s="33" t="s">
        <v>23</v>
      </c>
      <c r="B101" s="34">
        <v>35800</v>
      </c>
      <c r="C101" s="35"/>
      <c r="D101" s="35"/>
      <c r="E101" s="34"/>
      <c r="F101" s="34"/>
      <c r="G101" s="34"/>
      <c r="H101" s="34">
        <v>35800</v>
      </c>
      <c r="I101" s="34"/>
      <c r="J101" s="34"/>
      <c r="K101" s="34">
        <f t="shared" si="12"/>
        <v>71600</v>
      </c>
    </row>
    <row r="102" spans="1:11" s="25" customFormat="1" ht="15" customHeight="1" x14ac:dyDescent="0.25">
      <c r="A102" s="33" t="s">
        <v>6</v>
      </c>
      <c r="B102" s="34"/>
      <c r="C102" s="34"/>
      <c r="D102" s="34"/>
      <c r="E102" s="34"/>
      <c r="F102" s="34"/>
      <c r="G102" s="34"/>
      <c r="H102" s="34"/>
      <c r="I102" s="34"/>
      <c r="J102" s="34"/>
      <c r="K102" s="34">
        <f t="shared" si="12"/>
        <v>0</v>
      </c>
    </row>
    <row r="103" spans="1:11" s="25" customFormat="1" ht="15" customHeight="1" x14ac:dyDescent="0.25">
      <c r="A103" s="258" t="s">
        <v>7</v>
      </c>
      <c r="B103" s="259">
        <f t="shared" ref="B103:K103" si="13">SUM(B92:B102)</f>
        <v>75000</v>
      </c>
      <c r="C103" s="259">
        <f t="shared" si="13"/>
        <v>61600</v>
      </c>
      <c r="D103" s="259">
        <f t="shared" si="13"/>
        <v>11789</v>
      </c>
      <c r="E103" s="259">
        <f t="shared" si="13"/>
        <v>60.04</v>
      </c>
      <c r="F103" s="259">
        <f t="shared" si="13"/>
        <v>1290</v>
      </c>
      <c r="G103" s="259">
        <f t="shared" si="13"/>
        <v>49326.5</v>
      </c>
      <c r="H103" s="259">
        <f t="shared" si="13"/>
        <v>135080.03</v>
      </c>
      <c r="I103" s="259">
        <f t="shared" si="13"/>
        <v>0</v>
      </c>
      <c r="J103" s="259">
        <f t="shared" si="13"/>
        <v>0</v>
      </c>
      <c r="K103" s="260">
        <f t="shared" si="13"/>
        <v>334145.57</v>
      </c>
    </row>
    <row r="104" spans="1:11" s="25" customFormat="1" ht="15" customHeight="1" x14ac:dyDescent="0.25">
      <c r="A104" s="258"/>
      <c r="B104" s="259"/>
      <c r="C104" s="259"/>
      <c r="D104" s="259"/>
      <c r="E104" s="259"/>
      <c r="F104" s="259"/>
      <c r="G104" s="259"/>
      <c r="H104" s="259"/>
      <c r="I104" s="259"/>
      <c r="J104" s="259"/>
      <c r="K104" s="260"/>
    </row>
    <row r="105" spans="1:11" s="38" customFormat="1" ht="15" customHeight="1" thickBot="1" x14ac:dyDescent="0.35">
      <c r="A105" s="262" t="s">
        <v>36</v>
      </c>
      <c r="B105" s="262"/>
      <c r="C105" s="262"/>
      <c r="D105" s="262"/>
      <c r="E105" s="262"/>
      <c r="F105" s="262"/>
      <c r="G105" s="262"/>
      <c r="H105" s="262"/>
      <c r="I105" s="262"/>
      <c r="J105" s="262"/>
      <c r="K105" s="262"/>
    </row>
    <row r="106" spans="1:11" s="25" customFormat="1" ht="15" customHeight="1" thickBot="1" x14ac:dyDescent="0.3">
      <c r="A106" s="42" t="s">
        <v>0</v>
      </c>
      <c r="B106" s="43">
        <v>45149</v>
      </c>
      <c r="C106" s="43">
        <v>45152</v>
      </c>
      <c r="D106" s="43">
        <v>45156</v>
      </c>
      <c r="E106" s="43">
        <v>45157</v>
      </c>
      <c r="F106" s="43">
        <v>45166</v>
      </c>
      <c r="G106" s="43">
        <v>45167</v>
      </c>
      <c r="H106" s="43">
        <v>45169</v>
      </c>
      <c r="I106" s="43"/>
      <c r="J106" s="44"/>
      <c r="K106" s="28" t="s">
        <v>1</v>
      </c>
    </row>
    <row r="107" spans="1:11" s="25" customFormat="1" ht="15" customHeight="1" x14ac:dyDescent="0.25">
      <c r="A107" s="33" t="s">
        <v>22</v>
      </c>
      <c r="B107" s="32"/>
      <c r="C107" s="30"/>
      <c r="D107" s="30"/>
      <c r="E107" s="30"/>
      <c r="F107" s="30"/>
      <c r="G107" s="30"/>
      <c r="H107" s="30">
        <v>39200</v>
      </c>
      <c r="I107" s="30"/>
      <c r="J107" s="30"/>
      <c r="K107" s="32">
        <f t="shared" ref="K107:K117" si="14">SUM(B107:I107)</f>
        <v>39200</v>
      </c>
    </row>
    <row r="108" spans="1:11" s="25" customFormat="1" ht="15" customHeight="1" x14ac:dyDescent="0.25">
      <c r="A108" s="33" t="s">
        <v>24</v>
      </c>
      <c r="B108" s="34"/>
      <c r="C108" s="35"/>
      <c r="D108" s="34"/>
      <c r="E108" s="35"/>
      <c r="F108" s="35"/>
      <c r="G108" s="35"/>
      <c r="H108" s="35">
        <v>20010</v>
      </c>
      <c r="I108" s="35"/>
      <c r="J108" s="35"/>
      <c r="K108" s="34">
        <f t="shared" si="14"/>
        <v>20010</v>
      </c>
    </row>
    <row r="109" spans="1:11" s="25" customFormat="1" ht="15" customHeight="1" x14ac:dyDescent="0.25">
      <c r="A109" s="33" t="s">
        <v>3</v>
      </c>
      <c r="B109" s="34"/>
      <c r="C109" s="34"/>
      <c r="D109" s="34">
        <v>86400</v>
      </c>
      <c r="E109" s="34"/>
      <c r="F109" s="34"/>
      <c r="G109" s="34">
        <v>4629.74</v>
      </c>
      <c r="H109" s="34"/>
      <c r="I109" s="34"/>
      <c r="J109" s="34"/>
      <c r="K109" s="34">
        <f t="shared" si="14"/>
        <v>91029.74</v>
      </c>
    </row>
    <row r="110" spans="1:11" s="25" customFormat="1" ht="15" customHeight="1" x14ac:dyDescent="0.25">
      <c r="A110" s="33" t="s">
        <v>39</v>
      </c>
      <c r="B110" s="35"/>
      <c r="C110" s="34"/>
      <c r="D110" s="34"/>
      <c r="E110" s="35"/>
      <c r="F110" s="35"/>
      <c r="G110" s="35"/>
      <c r="H110" s="34">
        <v>49326.5</v>
      </c>
      <c r="I110" s="35"/>
      <c r="J110" s="35"/>
      <c r="K110" s="34">
        <f t="shared" si="14"/>
        <v>49326.5</v>
      </c>
    </row>
    <row r="111" spans="1:11" s="25" customFormat="1" ht="15" customHeight="1" x14ac:dyDescent="0.25">
      <c r="A111" s="33" t="s">
        <v>5</v>
      </c>
      <c r="B111" s="35"/>
      <c r="C111" s="34"/>
      <c r="D111" s="34"/>
      <c r="E111" s="35"/>
      <c r="F111" s="35"/>
      <c r="G111" s="35"/>
      <c r="H111" s="35"/>
      <c r="I111" s="35"/>
      <c r="J111" s="35"/>
      <c r="K111" s="34">
        <f t="shared" si="14"/>
        <v>0</v>
      </c>
    </row>
    <row r="112" spans="1:11" s="25" customFormat="1" ht="15" customHeight="1" x14ac:dyDescent="0.25">
      <c r="A112" s="33" t="s">
        <v>21</v>
      </c>
      <c r="B112" s="35"/>
      <c r="C112" s="35"/>
      <c r="D112" s="35"/>
      <c r="E112" s="35"/>
      <c r="F112" s="35"/>
      <c r="G112" s="36"/>
      <c r="H112" s="35">
        <v>40020</v>
      </c>
      <c r="I112" s="35"/>
      <c r="J112" s="35"/>
      <c r="K112" s="34">
        <f t="shared" si="14"/>
        <v>40020</v>
      </c>
    </row>
    <row r="113" spans="1:15" s="25" customFormat="1" ht="15" customHeight="1" x14ac:dyDescent="0.25">
      <c r="A113" s="33" t="s">
        <v>8</v>
      </c>
      <c r="B113" s="35"/>
      <c r="C113" s="34"/>
      <c r="D113" s="34"/>
      <c r="E113" s="35"/>
      <c r="F113" s="35">
        <v>4000</v>
      </c>
      <c r="G113" s="35"/>
      <c r="H113" s="35"/>
      <c r="I113" s="35"/>
      <c r="J113" s="35"/>
      <c r="K113" s="34">
        <f t="shared" si="14"/>
        <v>4000</v>
      </c>
    </row>
    <row r="114" spans="1:15" s="25" customFormat="1" ht="15" customHeight="1" x14ac:dyDescent="0.25">
      <c r="A114" s="33" t="s">
        <v>4</v>
      </c>
      <c r="B114" s="35"/>
      <c r="C114" s="34"/>
      <c r="D114" s="34"/>
      <c r="E114" s="35"/>
      <c r="F114" s="35"/>
      <c r="G114" s="35"/>
      <c r="H114" s="35"/>
      <c r="I114" s="35"/>
      <c r="J114" s="35"/>
      <c r="K114" s="34">
        <f t="shared" si="14"/>
        <v>0</v>
      </c>
    </row>
    <row r="115" spans="1:15" s="25" customFormat="1" ht="15" customHeight="1" x14ac:dyDescent="0.25">
      <c r="A115" s="33" t="s">
        <v>2</v>
      </c>
      <c r="B115" s="34">
        <v>60.04</v>
      </c>
      <c r="C115" s="35">
        <v>408</v>
      </c>
      <c r="D115" s="35"/>
      <c r="E115" s="34">
        <v>1290</v>
      </c>
      <c r="F115" s="34"/>
      <c r="G115" s="34"/>
      <c r="H115" s="35">
        <v>50.03</v>
      </c>
      <c r="I115" s="34"/>
      <c r="J115" s="34"/>
      <c r="K115" s="34">
        <f t="shared" si="14"/>
        <v>1808.07</v>
      </c>
    </row>
    <row r="116" spans="1:15" s="25" customFormat="1" ht="15" customHeight="1" x14ac:dyDescent="0.25">
      <c r="A116" s="33" t="s">
        <v>23</v>
      </c>
      <c r="B116" s="34"/>
      <c r="C116" s="34"/>
      <c r="D116" s="34"/>
      <c r="E116" s="34"/>
      <c r="F116" s="34"/>
      <c r="G116" s="34"/>
      <c r="H116" s="34">
        <v>35800</v>
      </c>
      <c r="I116" s="34"/>
      <c r="J116" s="34"/>
      <c r="K116" s="34">
        <f t="shared" si="14"/>
        <v>35800</v>
      </c>
    </row>
    <row r="117" spans="1:15" s="25" customFormat="1" ht="15" customHeight="1" x14ac:dyDescent="0.25">
      <c r="A117" s="33" t="s">
        <v>6</v>
      </c>
      <c r="B117" s="34"/>
      <c r="C117" s="34"/>
      <c r="D117" s="34"/>
      <c r="E117" s="34"/>
      <c r="F117" s="34"/>
      <c r="G117" s="34"/>
      <c r="H117" s="34"/>
      <c r="I117" s="34"/>
      <c r="J117" s="34"/>
      <c r="K117" s="34">
        <f t="shared" si="14"/>
        <v>0</v>
      </c>
    </row>
    <row r="118" spans="1:15" s="25" customFormat="1" ht="15" customHeight="1" x14ac:dyDescent="0.25">
      <c r="A118" s="258" t="s">
        <v>7</v>
      </c>
      <c r="B118" s="259">
        <f t="shared" ref="B118:J118" si="15">SUM(B107:B117)</f>
        <v>60.04</v>
      </c>
      <c r="C118" s="259">
        <f t="shared" si="15"/>
        <v>408</v>
      </c>
      <c r="D118" s="259">
        <f t="shared" si="15"/>
        <v>86400</v>
      </c>
      <c r="E118" s="259">
        <f t="shared" si="15"/>
        <v>1290</v>
      </c>
      <c r="F118" s="259">
        <f t="shared" si="15"/>
        <v>4000</v>
      </c>
      <c r="G118" s="259">
        <f t="shared" si="15"/>
        <v>4629.74</v>
      </c>
      <c r="H118" s="259">
        <f t="shared" si="15"/>
        <v>184406.53</v>
      </c>
      <c r="I118" s="259">
        <f t="shared" si="15"/>
        <v>0</v>
      </c>
      <c r="J118" s="259">
        <f t="shared" si="15"/>
        <v>0</v>
      </c>
      <c r="K118" s="260">
        <f>SUM(K107:K117)</f>
        <v>281194.31</v>
      </c>
    </row>
    <row r="119" spans="1:15" s="25" customFormat="1" ht="15" customHeight="1" x14ac:dyDescent="0.25">
      <c r="A119" s="258"/>
      <c r="B119" s="259"/>
      <c r="C119" s="259"/>
      <c r="D119" s="259"/>
      <c r="E119" s="259"/>
      <c r="F119" s="259"/>
      <c r="G119" s="259"/>
      <c r="H119" s="259"/>
      <c r="I119" s="259"/>
      <c r="J119" s="259"/>
      <c r="K119" s="260"/>
    </row>
    <row r="120" spans="1:15" s="38" customFormat="1" ht="15" customHeight="1" thickBot="1" x14ac:dyDescent="0.35">
      <c r="A120" s="262" t="s">
        <v>35</v>
      </c>
      <c r="B120" s="262"/>
      <c r="C120" s="262"/>
      <c r="D120" s="262"/>
      <c r="E120" s="262"/>
      <c r="F120" s="262"/>
      <c r="G120" s="262"/>
      <c r="H120" s="262"/>
      <c r="I120" s="262"/>
      <c r="J120" s="262"/>
      <c r="K120" s="262"/>
    </row>
    <row r="121" spans="1:15" s="25" customFormat="1" ht="15" customHeight="1" thickBot="1" x14ac:dyDescent="0.3">
      <c r="A121" s="26" t="s">
        <v>0</v>
      </c>
      <c r="B121" s="27">
        <v>45175</v>
      </c>
      <c r="C121" s="27">
        <v>45180</v>
      </c>
      <c r="D121" s="27">
        <v>45184</v>
      </c>
      <c r="E121" s="27">
        <v>45188</v>
      </c>
      <c r="F121" s="27">
        <v>45193</v>
      </c>
      <c r="G121" s="27">
        <v>45199</v>
      </c>
      <c r="H121" s="27"/>
      <c r="I121" s="27"/>
      <c r="J121" s="27"/>
      <c r="K121" s="28" t="s">
        <v>1</v>
      </c>
    </row>
    <row r="122" spans="1:15" s="25" customFormat="1" ht="15" customHeight="1" x14ac:dyDescent="0.25">
      <c r="A122" s="33" t="s">
        <v>22</v>
      </c>
      <c r="B122" s="32"/>
      <c r="C122" s="30"/>
      <c r="D122" s="30"/>
      <c r="E122" s="30">
        <v>19213</v>
      </c>
      <c r="F122" s="30"/>
      <c r="G122" s="30"/>
      <c r="H122" s="30"/>
      <c r="I122" s="30"/>
      <c r="J122" s="30"/>
      <c r="K122" s="32">
        <f t="shared" ref="K122:K132" si="16">SUM(B122:I122)</f>
        <v>19213</v>
      </c>
      <c r="L122" s="268" t="s">
        <v>117</v>
      </c>
      <c r="M122" s="269"/>
      <c r="N122" s="269"/>
      <c r="O122" s="269"/>
    </row>
    <row r="123" spans="1:15" s="25" customFormat="1" ht="15" customHeight="1" x14ac:dyDescent="0.25">
      <c r="A123" s="33" t="s">
        <v>24</v>
      </c>
      <c r="B123" s="34"/>
      <c r="C123" s="35"/>
      <c r="D123" s="34"/>
      <c r="E123" s="35"/>
      <c r="F123" s="35"/>
      <c r="G123" s="35">
        <v>20010</v>
      </c>
      <c r="H123" s="35"/>
      <c r="I123" s="35"/>
      <c r="J123" s="35"/>
      <c r="K123" s="34">
        <f t="shared" si="16"/>
        <v>20010</v>
      </c>
    </row>
    <row r="124" spans="1:15" s="25" customFormat="1" ht="15" customHeight="1" x14ac:dyDescent="0.25">
      <c r="A124" s="33" t="s">
        <v>3</v>
      </c>
      <c r="B124" s="34">
        <v>67200</v>
      </c>
      <c r="C124" s="34">
        <v>3703.79</v>
      </c>
      <c r="D124" s="34"/>
      <c r="E124" s="34"/>
      <c r="F124" s="34"/>
      <c r="G124" s="34"/>
      <c r="H124" s="34"/>
      <c r="I124" s="34"/>
      <c r="J124" s="34"/>
      <c r="K124" s="34">
        <f t="shared" si="16"/>
        <v>70903.789999999994</v>
      </c>
    </row>
    <row r="125" spans="1:15" s="25" customFormat="1" ht="15" customHeight="1" x14ac:dyDescent="0.25">
      <c r="A125" s="33" t="s">
        <v>39</v>
      </c>
      <c r="B125" s="35">
        <v>0.76</v>
      </c>
      <c r="C125" s="34"/>
      <c r="D125" s="34"/>
      <c r="E125" s="35"/>
      <c r="F125" s="35"/>
      <c r="G125" s="34">
        <v>49326.5</v>
      </c>
      <c r="H125" s="35"/>
      <c r="I125" s="35"/>
      <c r="J125" s="35"/>
      <c r="K125" s="34">
        <f t="shared" si="16"/>
        <v>49327.26</v>
      </c>
    </row>
    <row r="126" spans="1:15" s="25" customFormat="1" ht="15" customHeight="1" x14ac:dyDescent="0.25">
      <c r="A126" s="33" t="s">
        <v>5</v>
      </c>
      <c r="B126" s="35"/>
      <c r="C126" s="34"/>
      <c r="D126" s="34">
        <v>366403.5</v>
      </c>
      <c r="E126" s="35"/>
      <c r="F126" s="35"/>
      <c r="G126" s="35"/>
      <c r="H126" s="35"/>
      <c r="I126" s="35"/>
      <c r="J126" s="35"/>
      <c r="K126" s="34">
        <f t="shared" si="16"/>
        <v>366403.5</v>
      </c>
    </row>
    <row r="127" spans="1:15" s="25" customFormat="1" ht="15" customHeight="1" x14ac:dyDescent="0.25">
      <c r="A127" s="33" t="s">
        <v>21</v>
      </c>
      <c r="B127" s="35"/>
      <c r="C127" s="34"/>
      <c r="D127" s="34"/>
      <c r="E127" s="35"/>
      <c r="F127" s="35"/>
      <c r="G127" s="35">
        <v>40020</v>
      </c>
      <c r="H127" s="35"/>
      <c r="I127" s="35"/>
      <c r="J127" s="35"/>
      <c r="K127" s="34">
        <f t="shared" si="16"/>
        <v>40020</v>
      </c>
    </row>
    <row r="128" spans="1:15" s="25" customFormat="1" ht="15" customHeight="1" x14ac:dyDescent="0.25">
      <c r="A128" s="33" t="s">
        <v>8</v>
      </c>
      <c r="B128" s="35"/>
      <c r="C128" s="35"/>
      <c r="D128" s="35"/>
      <c r="E128" s="35"/>
      <c r="F128" s="35"/>
      <c r="G128" s="35">
        <v>21243</v>
      </c>
      <c r="H128" s="35"/>
      <c r="I128" s="35"/>
      <c r="J128" s="35"/>
      <c r="K128" s="34">
        <f t="shared" si="16"/>
        <v>21243</v>
      </c>
    </row>
    <row r="129" spans="1:15" s="25" customFormat="1" ht="15" customHeight="1" x14ac:dyDescent="0.25">
      <c r="A129" s="33" t="s">
        <v>4</v>
      </c>
      <c r="B129" s="35"/>
      <c r="C129" s="34"/>
      <c r="D129" s="34"/>
      <c r="E129" s="35"/>
      <c r="F129" s="35"/>
      <c r="G129" s="35"/>
      <c r="H129" s="35"/>
      <c r="I129" s="35"/>
      <c r="J129" s="35"/>
      <c r="K129" s="34">
        <f t="shared" si="16"/>
        <v>0</v>
      </c>
    </row>
    <row r="130" spans="1:15" s="25" customFormat="1" ht="15" customHeight="1" x14ac:dyDescent="0.25">
      <c r="A130" s="33" t="s">
        <v>2</v>
      </c>
      <c r="B130" s="35"/>
      <c r="C130" s="34">
        <v>60.04</v>
      </c>
      <c r="D130" s="34"/>
      <c r="E130" s="34">
        <v>1290</v>
      </c>
      <c r="F130" s="35">
        <v>675</v>
      </c>
      <c r="G130" s="35">
        <v>50.03</v>
      </c>
      <c r="H130" s="35"/>
      <c r="I130" s="35"/>
      <c r="J130" s="35"/>
      <c r="K130" s="34">
        <f t="shared" si="16"/>
        <v>2075.0700000000002</v>
      </c>
    </row>
    <row r="131" spans="1:15" s="25" customFormat="1" ht="15" customHeight="1" x14ac:dyDescent="0.25">
      <c r="A131" s="33" t="s">
        <v>23</v>
      </c>
      <c r="B131" s="34"/>
      <c r="C131" s="35"/>
      <c r="D131" s="35"/>
      <c r="E131" s="34"/>
      <c r="F131" s="34"/>
      <c r="G131" s="34"/>
      <c r="H131" s="34"/>
      <c r="I131" s="34"/>
      <c r="J131" s="34"/>
      <c r="K131" s="34">
        <f t="shared" si="16"/>
        <v>0</v>
      </c>
    </row>
    <row r="132" spans="1:15" s="25" customFormat="1" ht="15" customHeight="1" x14ac:dyDescent="0.25">
      <c r="A132" s="33" t="s">
        <v>6</v>
      </c>
      <c r="B132" s="34"/>
      <c r="C132" s="34"/>
      <c r="D132" s="34"/>
      <c r="E132" s="34"/>
      <c r="F132" s="34"/>
      <c r="G132" s="34"/>
      <c r="H132" s="34"/>
      <c r="I132" s="34"/>
      <c r="J132" s="34"/>
      <c r="K132" s="34">
        <f t="shared" si="16"/>
        <v>0</v>
      </c>
    </row>
    <row r="133" spans="1:15" s="25" customFormat="1" ht="15" customHeight="1" x14ac:dyDescent="0.25">
      <c r="A133" s="258" t="s">
        <v>7</v>
      </c>
      <c r="B133" s="259">
        <f t="shared" ref="B133:K133" si="17">SUM(B122:B132)</f>
        <v>67200.759999999995</v>
      </c>
      <c r="C133" s="259">
        <f t="shared" si="17"/>
        <v>3763.83</v>
      </c>
      <c r="D133" s="259">
        <f t="shared" si="17"/>
        <v>366403.5</v>
      </c>
      <c r="E133" s="259">
        <f t="shared" si="17"/>
        <v>20503</v>
      </c>
      <c r="F133" s="259">
        <f t="shared" si="17"/>
        <v>675</v>
      </c>
      <c r="G133" s="259">
        <f t="shared" si="17"/>
        <v>130649.53</v>
      </c>
      <c r="H133" s="259">
        <f t="shared" si="17"/>
        <v>0</v>
      </c>
      <c r="I133" s="259">
        <f t="shared" si="17"/>
        <v>0</v>
      </c>
      <c r="J133" s="259">
        <f t="shared" si="17"/>
        <v>0</v>
      </c>
      <c r="K133" s="270">
        <f t="shared" si="17"/>
        <v>589195.62</v>
      </c>
      <c r="L133" s="271" t="s">
        <v>118</v>
      </c>
      <c r="M133" s="272"/>
      <c r="N133" s="272"/>
      <c r="O133" s="272"/>
    </row>
    <row r="134" spans="1:15" s="25" customFormat="1" ht="15" customHeight="1" x14ac:dyDescent="0.25">
      <c r="A134" s="258"/>
      <c r="B134" s="259"/>
      <c r="C134" s="259"/>
      <c r="D134" s="259"/>
      <c r="E134" s="259"/>
      <c r="F134" s="259"/>
      <c r="G134" s="259"/>
      <c r="H134" s="259"/>
      <c r="I134" s="259"/>
      <c r="J134" s="259"/>
      <c r="K134" s="270"/>
      <c r="L134" s="271"/>
      <c r="M134" s="272"/>
      <c r="N134" s="272"/>
      <c r="O134" s="272"/>
    </row>
    <row r="135" spans="1:15" s="38" customFormat="1" ht="15" customHeight="1" thickBot="1" x14ac:dyDescent="0.35">
      <c r="A135" s="262" t="s">
        <v>34</v>
      </c>
      <c r="B135" s="262"/>
      <c r="C135" s="262"/>
      <c r="D135" s="262"/>
      <c r="E135" s="262"/>
      <c r="F135" s="262"/>
      <c r="G135" s="262"/>
      <c r="H135" s="262"/>
      <c r="I135" s="262"/>
      <c r="J135" s="262"/>
      <c r="K135" s="262"/>
    </row>
    <row r="136" spans="1:15" s="25" customFormat="1" ht="15" customHeight="1" thickBot="1" x14ac:dyDescent="0.3">
      <c r="A136" s="26" t="s">
        <v>0</v>
      </c>
      <c r="B136" s="27">
        <v>45200</v>
      </c>
      <c r="C136" s="27">
        <v>45203</v>
      </c>
      <c r="D136" s="27">
        <v>45207</v>
      </c>
      <c r="E136" s="27">
        <v>45210</v>
      </c>
      <c r="F136" s="27">
        <v>45215</v>
      </c>
      <c r="G136" s="27">
        <v>45218</v>
      </c>
      <c r="H136" s="27">
        <v>45230</v>
      </c>
      <c r="I136" s="27"/>
      <c r="J136" s="27"/>
      <c r="K136" s="28" t="s">
        <v>1</v>
      </c>
    </row>
    <row r="137" spans="1:15" s="25" customFormat="1" ht="15" customHeight="1" x14ac:dyDescent="0.25">
      <c r="A137" s="33" t="s">
        <v>22</v>
      </c>
      <c r="B137" s="32">
        <v>39200</v>
      </c>
      <c r="C137" s="30"/>
      <c r="D137" s="30"/>
      <c r="E137" s="30"/>
      <c r="F137" s="30"/>
      <c r="G137" s="30"/>
      <c r="H137" s="30">
        <v>39200</v>
      </c>
      <c r="I137" s="30"/>
      <c r="J137" s="30"/>
      <c r="K137" s="32">
        <f t="shared" ref="K137:K146" si="18">SUM(B137:I137)</f>
        <v>78400</v>
      </c>
    </row>
    <row r="138" spans="1:15" s="25" customFormat="1" ht="15" customHeight="1" x14ac:dyDescent="0.25">
      <c r="A138" s="33" t="s">
        <v>24</v>
      </c>
      <c r="B138" s="34"/>
      <c r="C138" s="35"/>
      <c r="D138" s="34"/>
      <c r="E138" s="35"/>
      <c r="F138" s="35"/>
      <c r="G138" s="35"/>
      <c r="H138" s="35">
        <v>20010</v>
      </c>
      <c r="I138" s="35"/>
      <c r="J138" s="35"/>
      <c r="K138" s="34">
        <f t="shared" si="18"/>
        <v>20010</v>
      </c>
    </row>
    <row r="139" spans="1:15" s="25" customFormat="1" ht="15" customHeight="1" x14ac:dyDescent="0.25">
      <c r="A139" s="33" t="s">
        <v>3</v>
      </c>
      <c r="B139" s="34"/>
      <c r="C139" s="34">
        <v>75540</v>
      </c>
      <c r="D139" s="34">
        <v>3703.79</v>
      </c>
      <c r="E139" s="34"/>
      <c r="F139" s="34"/>
      <c r="G139" s="34"/>
      <c r="H139" s="34"/>
      <c r="I139" s="34"/>
      <c r="J139" s="34"/>
      <c r="K139" s="34">
        <f t="shared" si="18"/>
        <v>79243.789999999994</v>
      </c>
    </row>
    <row r="140" spans="1:15" s="25" customFormat="1" ht="15" customHeight="1" x14ac:dyDescent="0.25">
      <c r="A140" s="33" t="s">
        <v>39</v>
      </c>
      <c r="B140" s="35"/>
      <c r="C140" s="34"/>
      <c r="D140" s="34"/>
      <c r="E140" s="35"/>
      <c r="F140" s="35">
        <v>2392</v>
      </c>
      <c r="G140" s="35"/>
      <c r="H140" s="34"/>
      <c r="I140" s="35"/>
      <c r="J140" s="35"/>
      <c r="K140" s="34">
        <f t="shared" si="18"/>
        <v>2392</v>
      </c>
    </row>
    <row r="141" spans="1:15" s="25" customFormat="1" ht="15" customHeight="1" x14ac:dyDescent="0.25">
      <c r="A141" s="33" t="s">
        <v>5</v>
      </c>
      <c r="B141" s="35"/>
      <c r="C141" s="34"/>
      <c r="D141" s="34"/>
      <c r="E141" s="35"/>
      <c r="F141" s="35"/>
      <c r="G141" s="35"/>
      <c r="H141" s="35"/>
      <c r="I141" s="35"/>
      <c r="J141" s="35"/>
      <c r="K141" s="34">
        <f t="shared" si="18"/>
        <v>0</v>
      </c>
    </row>
    <row r="142" spans="1:15" s="25" customFormat="1" ht="15" customHeight="1" x14ac:dyDescent="0.25">
      <c r="A142" s="33" t="s">
        <v>21</v>
      </c>
      <c r="B142" s="35"/>
      <c r="C142" s="35"/>
      <c r="D142" s="35"/>
      <c r="E142" s="35"/>
      <c r="F142" s="35"/>
      <c r="G142" s="36"/>
      <c r="H142" s="35">
        <v>40020</v>
      </c>
      <c r="I142" s="35"/>
      <c r="J142" s="35"/>
      <c r="K142" s="34">
        <f t="shared" si="18"/>
        <v>40020</v>
      </c>
    </row>
    <row r="143" spans="1:15" s="25" customFormat="1" ht="15" customHeight="1" x14ac:dyDescent="0.25">
      <c r="A143" s="33" t="s">
        <v>8</v>
      </c>
      <c r="B143" s="35"/>
      <c r="C143" s="34"/>
      <c r="D143" s="34"/>
      <c r="E143" s="35"/>
      <c r="F143" s="35"/>
      <c r="G143" s="35"/>
      <c r="H143" s="35"/>
      <c r="I143" s="35"/>
      <c r="J143" s="35"/>
      <c r="K143" s="34">
        <f t="shared" si="18"/>
        <v>0</v>
      </c>
    </row>
    <row r="144" spans="1:15" s="25" customFormat="1" ht="15" customHeight="1" x14ac:dyDescent="0.25">
      <c r="A144" s="33" t="s">
        <v>4</v>
      </c>
      <c r="B144" s="35"/>
      <c r="C144" s="34"/>
      <c r="D144" s="34"/>
      <c r="E144" s="35"/>
      <c r="F144" s="35"/>
      <c r="G144" s="35"/>
      <c r="H144" s="35">
        <v>13000</v>
      </c>
      <c r="I144" s="35"/>
      <c r="J144" s="35"/>
      <c r="K144" s="34">
        <f t="shared" si="18"/>
        <v>13000</v>
      </c>
    </row>
    <row r="145" spans="1:13" s="25" customFormat="1" ht="15" customHeight="1" x14ac:dyDescent="0.25">
      <c r="A145" s="33" t="s">
        <v>2</v>
      </c>
      <c r="B145" s="34"/>
      <c r="C145" s="35"/>
      <c r="D145" s="35"/>
      <c r="E145" s="34">
        <v>60.04</v>
      </c>
      <c r="F145" s="34"/>
      <c r="G145" s="34">
        <v>1290</v>
      </c>
      <c r="H145" s="34">
        <v>115.03</v>
      </c>
      <c r="I145" s="34"/>
      <c r="J145" s="34"/>
      <c r="K145" s="34">
        <f t="shared" si="18"/>
        <v>1465.07</v>
      </c>
    </row>
    <row r="146" spans="1:13" s="25" customFormat="1" ht="15" customHeight="1" x14ac:dyDescent="0.25">
      <c r="A146" s="33" t="s">
        <v>23</v>
      </c>
      <c r="B146" s="34">
        <v>35800</v>
      </c>
      <c r="C146" s="34"/>
      <c r="D146" s="34"/>
      <c r="E146" s="34"/>
      <c r="F146" s="34"/>
      <c r="G146" s="34"/>
      <c r="H146" s="34">
        <v>35800</v>
      </c>
      <c r="I146" s="34"/>
      <c r="J146" s="34"/>
      <c r="K146" s="34">
        <f t="shared" si="18"/>
        <v>71600</v>
      </c>
    </row>
    <row r="147" spans="1:13" s="25" customFormat="1" ht="15" customHeight="1" x14ac:dyDescent="0.25">
      <c r="A147" s="258" t="s">
        <v>7</v>
      </c>
      <c r="B147" s="259">
        <f t="shared" ref="B147:K147" si="19">SUM(B137:B146)</f>
        <v>75000</v>
      </c>
      <c r="C147" s="259">
        <f t="shared" si="19"/>
        <v>75540</v>
      </c>
      <c r="D147" s="259">
        <f t="shared" si="19"/>
        <v>3703.79</v>
      </c>
      <c r="E147" s="259">
        <f t="shared" si="19"/>
        <v>60.04</v>
      </c>
      <c r="F147" s="259">
        <f t="shared" si="19"/>
        <v>2392</v>
      </c>
      <c r="G147" s="259">
        <f t="shared" si="19"/>
        <v>1290</v>
      </c>
      <c r="H147" s="259">
        <f t="shared" si="19"/>
        <v>148145.03</v>
      </c>
      <c r="I147" s="259">
        <f t="shared" si="19"/>
        <v>0</v>
      </c>
      <c r="J147" s="259">
        <f t="shared" si="19"/>
        <v>0</v>
      </c>
      <c r="K147" s="260">
        <f t="shared" si="19"/>
        <v>306130.86</v>
      </c>
      <c r="M147" s="37"/>
    </row>
    <row r="148" spans="1:13" s="25" customFormat="1" ht="15" customHeight="1" x14ac:dyDescent="0.25">
      <c r="A148" s="258"/>
      <c r="B148" s="259"/>
      <c r="C148" s="259"/>
      <c r="D148" s="259"/>
      <c r="E148" s="259"/>
      <c r="F148" s="259"/>
      <c r="G148" s="259"/>
      <c r="H148" s="259"/>
      <c r="I148" s="259"/>
      <c r="J148" s="259"/>
      <c r="K148" s="260"/>
    </row>
    <row r="149" spans="1:13" s="38" customFormat="1" ht="15" customHeight="1" thickBot="1" x14ac:dyDescent="0.35">
      <c r="A149" s="262" t="s">
        <v>33</v>
      </c>
      <c r="B149" s="262"/>
      <c r="C149" s="262"/>
      <c r="D149" s="262"/>
      <c r="E149" s="262"/>
      <c r="F149" s="262"/>
      <c r="G149" s="262"/>
      <c r="H149" s="262"/>
      <c r="I149" s="262"/>
      <c r="J149" s="262"/>
      <c r="K149" s="262"/>
    </row>
    <row r="150" spans="1:13" s="25" customFormat="1" ht="15" customHeight="1" thickBot="1" x14ac:dyDescent="0.3">
      <c r="A150" s="26" t="s">
        <v>0</v>
      </c>
      <c r="B150" s="27">
        <v>45237</v>
      </c>
      <c r="C150" s="27">
        <v>45238</v>
      </c>
      <c r="D150" s="27">
        <v>45243</v>
      </c>
      <c r="E150" s="27">
        <v>45249</v>
      </c>
      <c r="F150" s="27">
        <v>45250</v>
      </c>
      <c r="G150" s="27">
        <v>45251</v>
      </c>
      <c r="H150" s="27">
        <v>45257</v>
      </c>
      <c r="I150" s="27">
        <v>45258</v>
      </c>
      <c r="J150" s="27">
        <v>45260</v>
      </c>
      <c r="K150" s="28" t="s">
        <v>1</v>
      </c>
    </row>
    <row r="151" spans="1:13" s="25" customFormat="1" ht="15" customHeight="1" x14ac:dyDescent="0.25">
      <c r="A151" s="33" t="s">
        <v>22</v>
      </c>
      <c r="B151" s="32"/>
      <c r="C151" s="30"/>
      <c r="D151" s="30"/>
      <c r="E151" s="30"/>
      <c r="F151" s="30"/>
      <c r="G151" s="30"/>
      <c r="H151" s="30"/>
      <c r="I151" s="30"/>
      <c r="J151" s="30"/>
      <c r="K151" s="32">
        <f>SUM(B151:J151)</f>
        <v>0</v>
      </c>
    </row>
    <row r="152" spans="1:13" s="25" customFormat="1" ht="15" customHeight="1" x14ac:dyDescent="0.25">
      <c r="A152" s="33" t="s">
        <v>24</v>
      </c>
      <c r="B152" s="34"/>
      <c r="C152" s="35"/>
      <c r="D152" s="34"/>
      <c r="E152" s="35"/>
      <c r="F152" s="35"/>
      <c r="G152" s="35"/>
      <c r="H152" s="35"/>
      <c r="I152" s="35"/>
      <c r="J152" s="35">
        <v>20010</v>
      </c>
      <c r="K152" s="32">
        <f t="shared" ref="K152:K161" si="20">SUM(B152:J152)</f>
        <v>20010</v>
      </c>
    </row>
    <row r="153" spans="1:13" s="25" customFormat="1" ht="15" customHeight="1" x14ac:dyDescent="0.25">
      <c r="A153" s="33" t="s">
        <v>3</v>
      </c>
      <c r="B153" s="34">
        <v>3703.79</v>
      </c>
      <c r="C153" s="34">
        <v>105600</v>
      </c>
      <c r="D153" s="34"/>
      <c r="E153" s="34"/>
      <c r="F153" s="34"/>
      <c r="G153" s="34"/>
      <c r="H153" s="34"/>
      <c r="I153" s="34"/>
      <c r="J153" s="34"/>
      <c r="K153" s="32">
        <f t="shared" si="20"/>
        <v>109303.79</v>
      </c>
    </row>
    <row r="154" spans="1:13" s="25" customFormat="1" ht="15" customHeight="1" x14ac:dyDescent="0.25">
      <c r="A154" s="33" t="s">
        <v>39</v>
      </c>
      <c r="B154" s="35"/>
      <c r="C154" s="34">
        <v>598</v>
      </c>
      <c r="D154" s="34"/>
      <c r="E154" s="35"/>
      <c r="F154" s="35"/>
      <c r="G154" s="35"/>
      <c r="H154" s="35"/>
      <c r="I154" s="35"/>
      <c r="J154" s="34"/>
      <c r="K154" s="32">
        <f t="shared" si="20"/>
        <v>598</v>
      </c>
    </row>
    <row r="155" spans="1:13" s="25" customFormat="1" ht="15" customHeight="1" x14ac:dyDescent="0.25">
      <c r="A155" s="33" t="s">
        <v>5</v>
      </c>
      <c r="B155" s="35"/>
      <c r="C155" s="34"/>
      <c r="D155" s="34"/>
      <c r="E155" s="35"/>
      <c r="F155" s="35"/>
      <c r="G155" s="35"/>
      <c r="H155" s="35"/>
      <c r="I155" s="35"/>
      <c r="J155" s="35"/>
      <c r="K155" s="32">
        <f t="shared" si="20"/>
        <v>0</v>
      </c>
    </row>
    <row r="156" spans="1:13" s="25" customFormat="1" ht="15" customHeight="1" x14ac:dyDescent="0.25">
      <c r="A156" s="33" t="s">
        <v>21</v>
      </c>
      <c r="B156" s="35"/>
      <c r="C156" s="35"/>
      <c r="D156" s="35"/>
      <c r="E156" s="35"/>
      <c r="F156" s="35"/>
      <c r="G156" s="36"/>
      <c r="H156" s="35"/>
      <c r="I156" s="35"/>
      <c r="J156" s="35">
        <v>40020</v>
      </c>
      <c r="K156" s="32">
        <f t="shared" si="20"/>
        <v>40020</v>
      </c>
    </row>
    <row r="157" spans="1:13" s="25" customFormat="1" ht="15" customHeight="1" x14ac:dyDescent="0.25">
      <c r="A157" s="33" t="s">
        <v>8</v>
      </c>
      <c r="B157" s="35"/>
      <c r="C157" s="35"/>
      <c r="D157" s="35"/>
      <c r="E157" s="35"/>
      <c r="F157" s="35">
        <v>6000</v>
      </c>
      <c r="G157" s="36">
        <v>14162</v>
      </c>
      <c r="H157" s="35"/>
      <c r="I157" s="35"/>
      <c r="J157" s="35"/>
      <c r="K157" s="32">
        <f t="shared" si="20"/>
        <v>20162</v>
      </c>
    </row>
    <row r="158" spans="1:13" s="25" customFormat="1" ht="15" customHeight="1" x14ac:dyDescent="0.25">
      <c r="A158" s="33" t="s">
        <v>4</v>
      </c>
      <c r="B158" s="35"/>
      <c r="C158" s="34"/>
      <c r="D158" s="34"/>
      <c r="E158" s="35"/>
      <c r="F158" s="35"/>
      <c r="G158" s="35"/>
      <c r="H158" s="35">
        <v>26000</v>
      </c>
      <c r="I158" s="35">
        <v>13000</v>
      </c>
      <c r="J158" s="35">
        <v>13000</v>
      </c>
      <c r="K158" s="32">
        <f t="shared" si="20"/>
        <v>52000</v>
      </c>
    </row>
    <row r="159" spans="1:13" s="25" customFormat="1" ht="15" customHeight="1" x14ac:dyDescent="0.25">
      <c r="A159" s="33" t="s">
        <v>2</v>
      </c>
      <c r="B159" s="35"/>
      <c r="C159" s="34"/>
      <c r="D159" s="34">
        <v>60.04</v>
      </c>
      <c r="E159" s="35">
        <v>1290</v>
      </c>
      <c r="F159" s="35"/>
      <c r="G159" s="35"/>
      <c r="H159" s="35"/>
      <c r="I159" s="35">
        <v>195</v>
      </c>
      <c r="J159" s="35">
        <v>115.03</v>
      </c>
      <c r="K159" s="32">
        <f t="shared" si="20"/>
        <v>1660.07</v>
      </c>
    </row>
    <row r="160" spans="1:13" s="25" customFormat="1" ht="15" customHeight="1" x14ac:dyDescent="0.25">
      <c r="A160" s="33" t="s">
        <v>23</v>
      </c>
      <c r="B160" s="34"/>
      <c r="C160" s="35"/>
      <c r="D160" s="35"/>
      <c r="E160" s="34"/>
      <c r="F160" s="34"/>
      <c r="G160" s="34"/>
      <c r="H160" s="34"/>
      <c r="I160" s="34"/>
      <c r="J160" s="34"/>
      <c r="K160" s="32">
        <f t="shared" si="20"/>
        <v>0</v>
      </c>
    </row>
    <row r="161" spans="1:11" s="25" customFormat="1" ht="15" customHeight="1" x14ac:dyDescent="0.25">
      <c r="A161" s="33" t="s">
        <v>6</v>
      </c>
      <c r="B161" s="34"/>
      <c r="C161" s="34"/>
      <c r="D161" s="34"/>
      <c r="E161" s="34"/>
      <c r="F161" s="34"/>
      <c r="G161" s="34"/>
      <c r="H161" s="34"/>
      <c r="I161" s="34"/>
      <c r="J161" s="34"/>
      <c r="K161" s="32">
        <f t="shared" si="20"/>
        <v>0</v>
      </c>
    </row>
    <row r="162" spans="1:11" s="25" customFormat="1" ht="15" customHeight="1" x14ac:dyDescent="0.25">
      <c r="A162" s="258" t="s">
        <v>7</v>
      </c>
      <c r="B162" s="259">
        <f t="shared" ref="B162:K162" si="21">SUM(B151:B161)</f>
        <v>3703.79</v>
      </c>
      <c r="C162" s="259">
        <f t="shared" si="21"/>
        <v>106198</v>
      </c>
      <c r="D162" s="259">
        <f t="shared" si="21"/>
        <v>60.04</v>
      </c>
      <c r="E162" s="259">
        <f t="shared" si="21"/>
        <v>1290</v>
      </c>
      <c r="F162" s="259">
        <f t="shared" si="21"/>
        <v>6000</v>
      </c>
      <c r="G162" s="259">
        <f t="shared" si="21"/>
        <v>14162</v>
      </c>
      <c r="H162" s="259">
        <f t="shared" si="21"/>
        <v>26000</v>
      </c>
      <c r="I162" s="259">
        <f t="shared" si="21"/>
        <v>13195</v>
      </c>
      <c r="J162" s="259">
        <f t="shared" si="21"/>
        <v>73145.03</v>
      </c>
      <c r="K162" s="260">
        <f t="shared" si="21"/>
        <v>243753.86</v>
      </c>
    </row>
    <row r="163" spans="1:11" s="25" customFormat="1" ht="15" customHeight="1" x14ac:dyDescent="0.25">
      <c r="A163" s="258"/>
      <c r="B163" s="259"/>
      <c r="C163" s="259"/>
      <c r="D163" s="259"/>
      <c r="E163" s="259"/>
      <c r="F163" s="259"/>
      <c r="G163" s="259"/>
      <c r="H163" s="259"/>
      <c r="I163" s="259"/>
      <c r="J163" s="259"/>
      <c r="K163" s="260"/>
    </row>
    <row r="164" spans="1:11" s="38" customFormat="1" ht="15" customHeight="1" thickBot="1" x14ac:dyDescent="0.35">
      <c r="A164" s="262" t="s">
        <v>32</v>
      </c>
      <c r="B164" s="262"/>
      <c r="C164" s="262"/>
      <c r="D164" s="262"/>
      <c r="E164" s="262"/>
      <c r="F164" s="262"/>
      <c r="G164" s="262"/>
      <c r="H164" s="262"/>
      <c r="I164" s="262"/>
      <c r="J164" s="262"/>
      <c r="K164" s="262"/>
    </row>
    <row r="165" spans="1:11" s="25" customFormat="1" ht="15" customHeight="1" thickBot="1" x14ac:dyDescent="0.3">
      <c r="A165" s="26" t="s">
        <v>0</v>
      </c>
      <c r="B165" s="27">
        <v>45264</v>
      </c>
      <c r="C165" s="27">
        <v>45265</v>
      </c>
      <c r="D165" s="27">
        <v>45270</v>
      </c>
      <c r="E165" s="27">
        <v>45271</v>
      </c>
      <c r="F165" s="27">
        <v>45275</v>
      </c>
      <c r="G165" s="27">
        <v>45279</v>
      </c>
      <c r="H165" s="27">
        <v>45284</v>
      </c>
      <c r="I165" s="27">
        <v>45288</v>
      </c>
      <c r="J165" s="27">
        <v>45289</v>
      </c>
      <c r="K165" s="28" t="s">
        <v>1</v>
      </c>
    </row>
    <row r="166" spans="1:11" s="25" customFormat="1" ht="15" customHeight="1" x14ac:dyDescent="0.25">
      <c r="A166" s="33" t="s">
        <v>22</v>
      </c>
      <c r="B166" s="32">
        <v>39200</v>
      </c>
      <c r="C166" s="30"/>
      <c r="D166" s="30"/>
      <c r="E166" s="30"/>
      <c r="F166" s="30"/>
      <c r="G166" s="30"/>
      <c r="H166" s="30"/>
      <c r="I166" s="30"/>
      <c r="J166" s="30"/>
      <c r="K166" s="32">
        <f>SUM(B166:J166)</f>
        <v>39200</v>
      </c>
    </row>
    <row r="167" spans="1:11" s="25" customFormat="1" ht="15" customHeight="1" x14ac:dyDescent="0.25">
      <c r="A167" s="33" t="s">
        <v>24</v>
      </c>
      <c r="B167" s="34"/>
      <c r="C167" s="35"/>
      <c r="D167" s="34"/>
      <c r="E167" s="35"/>
      <c r="F167" s="35"/>
      <c r="G167" s="35"/>
      <c r="H167" s="35"/>
      <c r="I167" s="35">
        <v>20010</v>
      </c>
      <c r="J167" s="30"/>
      <c r="K167" s="32">
        <f t="shared" ref="K167:K176" si="22">SUM(B167:J167)</f>
        <v>20010</v>
      </c>
    </row>
    <row r="168" spans="1:11" s="25" customFormat="1" ht="15" customHeight="1" x14ac:dyDescent="0.25">
      <c r="A168" s="33" t="s">
        <v>3</v>
      </c>
      <c r="B168" s="34">
        <v>76800</v>
      </c>
      <c r="C168" s="34"/>
      <c r="D168" s="34"/>
      <c r="E168" s="34">
        <v>3703.79</v>
      </c>
      <c r="F168" s="34"/>
      <c r="G168" s="34"/>
      <c r="H168" s="34"/>
      <c r="I168" s="34"/>
      <c r="J168" s="32"/>
      <c r="K168" s="32">
        <f t="shared" si="22"/>
        <v>80503.789999999994</v>
      </c>
    </row>
    <row r="169" spans="1:11" s="25" customFormat="1" ht="15" customHeight="1" x14ac:dyDescent="0.25">
      <c r="A169" s="33" t="s">
        <v>39</v>
      </c>
      <c r="B169" s="35"/>
      <c r="C169" s="34"/>
      <c r="D169" s="34"/>
      <c r="E169" s="35"/>
      <c r="F169" s="35">
        <v>598</v>
      </c>
      <c r="G169" s="35"/>
      <c r="H169" s="35"/>
      <c r="I169" s="35"/>
      <c r="J169" s="30">
        <v>49326.5</v>
      </c>
      <c r="K169" s="32">
        <f t="shared" si="22"/>
        <v>49924.5</v>
      </c>
    </row>
    <row r="170" spans="1:11" s="25" customFormat="1" ht="15" customHeight="1" x14ac:dyDescent="0.25">
      <c r="A170" s="33" t="s">
        <v>5</v>
      </c>
      <c r="B170" s="35"/>
      <c r="C170" s="34"/>
      <c r="D170" s="34"/>
      <c r="E170" s="35"/>
      <c r="F170" s="35"/>
      <c r="G170" s="35"/>
      <c r="H170" s="35"/>
      <c r="I170" s="35"/>
      <c r="J170" s="30"/>
      <c r="K170" s="32">
        <f t="shared" si="22"/>
        <v>0</v>
      </c>
    </row>
    <row r="171" spans="1:11" s="25" customFormat="1" ht="15" customHeight="1" x14ac:dyDescent="0.25">
      <c r="A171" s="33" t="s">
        <v>21</v>
      </c>
      <c r="B171" s="35"/>
      <c r="C171" s="34"/>
      <c r="D171" s="34"/>
      <c r="E171" s="35"/>
      <c r="F171" s="35"/>
      <c r="G171" s="35"/>
      <c r="H171" s="35"/>
      <c r="I171" s="35">
        <v>40020</v>
      </c>
      <c r="J171" s="30"/>
      <c r="K171" s="32">
        <f t="shared" si="22"/>
        <v>40020</v>
      </c>
    </row>
    <row r="172" spans="1:11" s="25" customFormat="1" ht="15" customHeight="1" x14ac:dyDescent="0.25">
      <c r="A172" s="33" t="s">
        <v>8</v>
      </c>
      <c r="B172" s="35"/>
      <c r="C172" s="35"/>
      <c r="D172" s="35"/>
      <c r="E172" s="35"/>
      <c r="F172" s="35"/>
      <c r="G172" s="36"/>
      <c r="H172" s="35"/>
      <c r="I172" s="35"/>
      <c r="J172" s="30"/>
      <c r="K172" s="32">
        <f t="shared" si="22"/>
        <v>0</v>
      </c>
    </row>
    <row r="173" spans="1:11" s="25" customFormat="1" ht="15" customHeight="1" x14ac:dyDescent="0.25">
      <c r="A173" s="33" t="s">
        <v>4</v>
      </c>
      <c r="B173" s="35"/>
      <c r="C173" s="34">
        <v>13000</v>
      </c>
      <c r="D173" s="34"/>
      <c r="E173" s="35"/>
      <c r="F173" s="35"/>
      <c r="G173" s="35"/>
      <c r="H173" s="35"/>
      <c r="I173" s="35"/>
      <c r="J173" s="30"/>
      <c r="K173" s="32">
        <f t="shared" si="22"/>
        <v>13000</v>
      </c>
    </row>
    <row r="174" spans="1:11" s="25" customFormat="1" ht="15" customHeight="1" x14ac:dyDescent="0.25">
      <c r="A174" s="33" t="s">
        <v>2</v>
      </c>
      <c r="B174" s="35">
        <v>495</v>
      </c>
      <c r="C174" s="34">
        <v>65</v>
      </c>
      <c r="D174" s="34"/>
      <c r="E174" s="35">
        <v>60.04</v>
      </c>
      <c r="F174" s="35"/>
      <c r="G174" s="35">
        <v>1290</v>
      </c>
      <c r="H174" s="35">
        <v>450</v>
      </c>
      <c r="I174" s="35">
        <v>50.03</v>
      </c>
      <c r="J174" s="30">
        <v>60.04</v>
      </c>
      <c r="K174" s="32">
        <f t="shared" si="22"/>
        <v>2470.11</v>
      </c>
    </row>
    <row r="175" spans="1:11" s="25" customFormat="1" ht="15" customHeight="1" x14ac:dyDescent="0.25">
      <c r="A175" s="33" t="s">
        <v>23</v>
      </c>
      <c r="B175" s="34">
        <v>35800</v>
      </c>
      <c r="C175" s="35"/>
      <c r="D175" s="35">
        <v>34300</v>
      </c>
      <c r="E175" s="34"/>
      <c r="F175" s="34"/>
      <c r="G175" s="34"/>
      <c r="H175" s="34"/>
      <c r="I175" s="34"/>
      <c r="J175" s="32"/>
      <c r="K175" s="32">
        <f t="shared" si="22"/>
        <v>70100</v>
      </c>
    </row>
    <row r="176" spans="1:11" s="25" customFormat="1" ht="15" customHeight="1" x14ac:dyDescent="0.25">
      <c r="A176" s="33" t="s">
        <v>6</v>
      </c>
      <c r="B176" s="34"/>
      <c r="C176" s="34"/>
      <c r="D176" s="34"/>
      <c r="E176" s="34"/>
      <c r="F176" s="34"/>
      <c r="G176" s="34"/>
      <c r="H176" s="34"/>
      <c r="I176" s="34"/>
      <c r="J176" s="32"/>
      <c r="K176" s="32">
        <f t="shared" si="22"/>
        <v>0</v>
      </c>
    </row>
    <row r="177" spans="1:11" s="25" customFormat="1" ht="15" customHeight="1" x14ac:dyDescent="0.25">
      <c r="A177" s="277" t="s">
        <v>7</v>
      </c>
      <c r="B177" s="273">
        <f t="shared" ref="B177:K177" si="23">SUM(B166:B176)</f>
        <v>152295</v>
      </c>
      <c r="C177" s="273">
        <f t="shared" si="23"/>
        <v>13065</v>
      </c>
      <c r="D177" s="273">
        <f t="shared" si="23"/>
        <v>34300</v>
      </c>
      <c r="E177" s="273">
        <f t="shared" si="23"/>
        <v>3763.83</v>
      </c>
      <c r="F177" s="273">
        <f t="shared" si="23"/>
        <v>598</v>
      </c>
      <c r="G177" s="273">
        <f t="shared" si="23"/>
        <v>1290</v>
      </c>
      <c r="H177" s="273">
        <f t="shared" si="23"/>
        <v>450</v>
      </c>
      <c r="I177" s="273">
        <f t="shared" si="23"/>
        <v>60080.03</v>
      </c>
      <c r="J177" s="273">
        <f t="shared" si="23"/>
        <v>49386.54</v>
      </c>
      <c r="K177" s="275">
        <f t="shared" si="23"/>
        <v>315228.39999999997</v>
      </c>
    </row>
    <row r="178" spans="1:11" s="25" customFormat="1" ht="15" customHeight="1" x14ac:dyDescent="0.25">
      <c r="A178" s="278"/>
      <c r="B178" s="274"/>
      <c r="C178" s="274"/>
      <c r="D178" s="274"/>
      <c r="E178" s="274"/>
      <c r="F178" s="274"/>
      <c r="G178" s="274"/>
      <c r="H178" s="274"/>
      <c r="I178" s="274"/>
      <c r="J178" s="274"/>
      <c r="K178" s="276"/>
    </row>
  </sheetData>
  <mergeCells count="144">
    <mergeCell ref="G177:G178"/>
    <mergeCell ref="H177:H178"/>
    <mergeCell ref="I177:I178"/>
    <mergeCell ref="J177:J178"/>
    <mergeCell ref="K177:K178"/>
    <mergeCell ref="J14:J15"/>
    <mergeCell ref="A177:A178"/>
    <mergeCell ref="B177:B178"/>
    <mergeCell ref="C177:C178"/>
    <mergeCell ref="D177:D178"/>
    <mergeCell ref="E177:E178"/>
    <mergeCell ref="F177:F178"/>
    <mergeCell ref="G162:G163"/>
    <mergeCell ref="H162:H163"/>
    <mergeCell ref="I162:I163"/>
    <mergeCell ref="J162:J163"/>
    <mergeCell ref="K162:K163"/>
    <mergeCell ref="A164:K164"/>
    <mergeCell ref="A162:A163"/>
    <mergeCell ref="B162:B163"/>
    <mergeCell ref="C162:C163"/>
    <mergeCell ref="D162:D163"/>
    <mergeCell ref="E162:E163"/>
    <mergeCell ref="F162:F163"/>
    <mergeCell ref="G147:G148"/>
    <mergeCell ref="H147:H148"/>
    <mergeCell ref="I147:I148"/>
    <mergeCell ref="J147:J148"/>
    <mergeCell ref="K147:K148"/>
    <mergeCell ref="A149:K149"/>
    <mergeCell ref="J133:J134"/>
    <mergeCell ref="K133:K134"/>
    <mergeCell ref="L133:O134"/>
    <mergeCell ref="A135:K135"/>
    <mergeCell ref="A147:A148"/>
    <mergeCell ref="B147:B148"/>
    <mergeCell ref="C147:C148"/>
    <mergeCell ref="D147:D148"/>
    <mergeCell ref="E147:E148"/>
    <mergeCell ref="F147:F148"/>
    <mergeCell ref="L122:O122"/>
    <mergeCell ref="A133:A134"/>
    <mergeCell ref="B133:B134"/>
    <mergeCell ref="C133:C134"/>
    <mergeCell ref="D133:D134"/>
    <mergeCell ref="E133:E134"/>
    <mergeCell ref="F133:F134"/>
    <mergeCell ref="G133:G134"/>
    <mergeCell ref="H133:H134"/>
    <mergeCell ref="I133:I134"/>
    <mergeCell ref="G118:G119"/>
    <mergeCell ref="H118:H119"/>
    <mergeCell ref="I118:I119"/>
    <mergeCell ref="J118:J119"/>
    <mergeCell ref="K118:K119"/>
    <mergeCell ref="A120:K120"/>
    <mergeCell ref="A118:A119"/>
    <mergeCell ref="B118:B119"/>
    <mergeCell ref="C118:C119"/>
    <mergeCell ref="D118:D119"/>
    <mergeCell ref="E118:E119"/>
    <mergeCell ref="F118:F119"/>
    <mergeCell ref="G103:G104"/>
    <mergeCell ref="H103:H104"/>
    <mergeCell ref="I103:I104"/>
    <mergeCell ref="J103:J104"/>
    <mergeCell ref="K103:K104"/>
    <mergeCell ref="A105:K105"/>
    <mergeCell ref="A103:A104"/>
    <mergeCell ref="B103:B104"/>
    <mergeCell ref="C103:C104"/>
    <mergeCell ref="D103:D104"/>
    <mergeCell ref="E103:E104"/>
    <mergeCell ref="F103:F104"/>
    <mergeCell ref="G88:G89"/>
    <mergeCell ref="H88:H89"/>
    <mergeCell ref="I88:I89"/>
    <mergeCell ref="J88:J89"/>
    <mergeCell ref="K88:K89"/>
    <mergeCell ref="A90:K90"/>
    <mergeCell ref="A88:A89"/>
    <mergeCell ref="B88:B89"/>
    <mergeCell ref="C88:C89"/>
    <mergeCell ref="D88:D89"/>
    <mergeCell ref="E88:E89"/>
    <mergeCell ref="F88:F89"/>
    <mergeCell ref="G73:G74"/>
    <mergeCell ref="H73:H74"/>
    <mergeCell ref="I73:I74"/>
    <mergeCell ref="J73:J74"/>
    <mergeCell ref="K73:K74"/>
    <mergeCell ref="A75:K75"/>
    <mergeCell ref="A73:A74"/>
    <mergeCell ref="B73:B74"/>
    <mergeCell ref="C73:C74"/>
    <mergeCell ref="D73:D74"/>
    <mergeCell ref="E73:E74"/>
    <mergeCell ref="F73:F74"/>
    <mergeCell ref="A61:K61"/>
    <mergeCell ref="H44:H45"/>
    <mergeCell ref="I44:I45"/>
    <mergeCell ref="K44:K45"/>
    <mergeCell ref="A46:K46"/>
    <mergeCell ref="A59:A60"/>
    <mergeCell ref="B59:B60"/>
    <mergeCell ref="C59:C60"/>
    <mergeCell ref="D59:D60"/>
    <mergeCell ref="E59:E60"/>
    <mergeCell ref="F59:F60"/>
    <mergeCell ref="A31:K31"/>
    <mergeCell ref="A44:A45"/>
    <mergeCell ref="B44:B45"/>
    <mergeCell ref="C44:C45"/>
    <mergeCell ref="D44:D45"/>
    <mergeCell ref="E44:E45"/>
    <mergeCell ref="F44:F45"/>
    <mergeCell ref="G44:G45"/>
    <mergeCell ref="G59:G60"/>
    <mergeCell ref="H59:H60"/>
    <mergeCell ref="I59:I60"/>
    <mergeCell ref="J59:J60"/>
    <mergeCell ref="K59:K60"/>
    <mergeCell ref="A16:K16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K29:K30"/>
    <mergeCell ref="A1:K1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K14:K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workbookViewId="0">
      <selection activeCell="J24" sqref="J24"/>
    </sheetView>
  </sheetViews>
  <sheetFormatPr defaultColWidth="11.5546875" defaultRowHeight="13.2" x14ac:dyDescent="0.25"/>
  <cols>
    <col min="1" max="1" width="42.44140625" customWidth="1"/>
    <col min="10" max="10" width="12.33203125" customWidth="1"/>
    <col min="14" max="14" width="14.6640625" customWidth="1"/>
  </cols>
  <sheetData>
    <row r="1" spans="1:14" ht="17.399999999999999" x14ac:dyDescent="0.25">
      <c r="A1" s="279" t="s">
        <v>38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18" x14ac:dyDescent="0.25">
      <c r="A2" s="5" t="s">
        <v>0</v>
      </c>
      <c r="B2" s="6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6" t="s">
        <v>14</v>
      </c>
      <c r="H2" s="6" t="s">
        <v>15</v>
      </c>
      <c r="I2" s="6" t="s">
        <v>16</v>
      </c>
      <c r="J2" s="6" t="s">
        <v>17</v>
      </c>
      <c r="K2" s="6" t="s">
        <v>18</v>
      </c>
      <c r="L2" s="6" t="s">
        <v>19</v>
      </c>
      <c r="M2" s="6" t="s">
        <v>20</v>
      </c>
      <c r="N2" s="7" t="s">
        <v>1</v>
      </c>
    </row>
    <row r="3" spans="1:14" ht="18" x14ac:dyDescent="0.25">
      <c r="A3" s="2" t="s">
        <v>22</v>
      </c>
      <c r="B3" s="3">
        <f>'[1]по месяцам'!K3</f>
        <v>39200</v>
      </c>
      <c r="C3" s="3">
        <f>'[1]по месяцам'!K18</f>
        <v>35000</v>
      </c>
      <c r="D3" s="3">
        <f>'[1]по месяцам'!K33</f>
        <v>39200</v>
      </c>
      <c r="E3" s="3">
        <f>'[1]по месяцам'!K48</f>
        <v>39200</v>
      </c>
      <c r="F3" s="3">
        <f>'[1]по месяцам'!K63</f>
        <v>39200</v>
      </c>
      <c r="G3" s="3">
        <f>'[1]по месяцам'!K77</f>
        <v>0</v>
      </c>
      <c r="H3" s="3">
        <f>'[1]по месяцам'!K92</f>
        <v>78400</v>
      </c>
      <c r="I3" s="3">
        <f>'[1]по месяцам'!K107</f>
        <v>39200</v>
      </c>
      <c r="J3" s="3">
        <f>'[1]по месяцам'!K122</f>
        <v>19213</v>
      </c>
      <c r="K3" s="3">
        <f>'[1]по месяцам'!K137</f>
        <v>78400</v>
      </c>
      <c r="L3" s="3">
        <f>'[1]по месяцам'!K151</f>
        <v>0</v>
      </c>
      <c r="M3" s="3">
        <f>'[1]по месяцам'!K166</f>
        <v>39200</v>
      </c>
      <c r="N3" s="24">
        <f t="shared" ref="N3:N13" si="0">SUM(B3:M3)</f>
        <v>446213</v>
      </c>
    </row>
    <row r="4" spans="1:14" ht="18" x14ac:dyDescent="0.25">
      <c r="A4" s="2" t="s">
        <v>24</v>
      </c>
      <c r="B4" s="3">
        <f>'[1]по месяцам'!K4</f>
        <v>20010</v>
      </c>
      <c r="C4" s="3">
        <f>'[1]по месяцам'!K19</f>
        <v>20010</v>
      </c>
      <c r="D4" s="3">
        <f>'[1]по месяцам'!K34</f>
        <v>20010</v>
      </c>
      <c r="E4" s="3">
        <f>'[1]по месяцам'!K49</f>
        <v>30015</v>
      </c>
      <c r="F4" s="3">
        <f>'[1]по месяцам'!K64</f>
        <v>10005</v>
      </c>
      <c r="G4" s="3">
        <f>'[1]по месяцам'!K78</f>
        <v>20010</v>
      </c>
      <c r="H4" s="3">
        <f>'[1]по месяцам'!K93</f>
        <v>20010</v>
      </c>
      <c r="I4" s="3">
        <f>'[1]по месяцам'!K108</f>
        <v>20010</v>
      </c>
      <c r="J4" s="3">
        <f>'[1]по месяцам'!K123</f>
        <v>20010</v>
      </c>
      <c r="K4" s="3">
        <f>'[1]по месяцам'!K138</f>
        <v>20010</v>
      </c>
      <c r="L4" s="3">
        <f>'[1]по месяцам'!K152</f>
        <v>20010</v>
      </c>
      <c r="M4" s="3">
        <f>'[1]по месяцам'!K167</f>
        <v>20010</v>
      </c>
      <c r="N4" s="24">
        <f t="shared" si="0"/>
        <v>240120</v>
      </c>
    </row>
    <row r="5" spans="1:14" ht="18" x14ac:dyDescent="0.25">
      <c r="A5" s="2" t="s">
        <v>3</v>
      </c>
      <c r="B5" s="3">
        <f>'[1]по месяцам'!K5</f>
        <v>12503.79</v>
      </c>
      <c r="C5" s="3">
        <f>'[1]по месяцам'!K20</f>
        <v>39829.74</v>
      </c>
      <c r="D5" s="3">
        <f>'[1]по месяцам'!K35</f>
        <v>21303.79</v>
      </c>
      <c r="E5" s="3">
        <f>'[1]по месяцам'!K50</f>
        <v>38903.79</v>
      </c>
      <c r="F5" s="3">
        <f>'[1]по месяцам'!K65</f>
        <v>113703.79</v>
      </c>
      <c r="G5" s="3">
        <f>'[1]по месяцам'!K79</f>
        <v>83829.740000000005</v>
      </c>
      <c r="H5" s="3">
        <f>'[1]по месяцам'!K94</f>
        <v>61600</v>
      </c>
      <c r="I5" s="3">
        <f>'[1]по месяцам'!K109</f>
        <v>91029.74</v>
      </c>
      <c r="J5" s="3">
        <f>'[1]по месяцам'!K124</f>
        <v>70903.789999999994</v>
      </c>
      <c r="K5" s="3">
        <f>'[1]по месяцам'!K139</f>
        <v>79243.789999999994</v>
      </c>
      <c r="L5" s="3">
        <f>'[1]по месяцам'!K153</f>
        <v>109303.79</v>
      </c>
      <c r="M5" s="3">
        <f>'[1]по месяцам'!K168</f>
        <v>80503.789999999994</v>
      </c>
      <c r="N5" s="24">
        <f t="shared" si="0"/>
        <v>802659.54000000015</v>
      </c>
    </row>
    <row r="6" spans="1:14" ht="18" x14ac:dyDescent="0.25">
      <c r="A6" s="2" t="s">
        <v>39</v>
      </c>
      <c r="B6" s="3">
        <f>'[1]по месяцам'!K6</f>
        <v>29667.57</v>
      </c>
      <c r="C6" s="3">
        <f>'[1]по месяцам'!K21</f>
        <v>16629</v>
      </c>
      <c r="D6" s="3">
        <f>'[1]по месяцам'!K36</f>
        <v>83647</v>
      </c>
      <c r="E6" s="3">
        <f>'[1]по месяцам'!K51</f>
        <v>49326.5</v>
      </c>
      <c r="F6" s="3">
        <f>'[1]по месяцам'!K66</f>
        <v>51442.5</v>
      </c>
      <c r="G6" s="3">
        <f>'[1]по месяцам'!K80</f>
        <v>51442.5</v>
      </c>
      <c r="H6" s="3">
        <f>'[1]по месяцам'!K95</f>
        <v>49326.5</v>
      </c>
      <c r="I6" s="3">
        <f>'[1]по месяцам'!K110</f>
        <v>49326.5</v>
      </c>
      <c r="J6" s="3">
        <f>'[1]по месяцам'!K125</f>
        <v>49327.26</v>
      </c>
      <c r="K6" s="3">
        <f>'[1]по месяцам'!K140</f>
        <v>2392</v>
      </c>
      <c r="L6" s="3">
        <f>'[1]по месяцам'!K154</f>
        <v>598</v>
      </c>
      <c r="M6" s="3">
        <f>'[1]по месяцам'!K169</f>
        <v>49924.5</v>
      </c>
      <c r="N6" s="24">
        <f t="shared" si="0"/>
        <v>483049.83</v>
      </c>
    </row>
    <row r="7" spans="1:14" ht="18" x14ac:dyDescent="0.25">
      <c r="A7" s="2" t="s">
        <v>5</v>
      </c>
      <c r="B7" s="3">
        <f>'[1]по месяцам'!K7</f>
        <v>336316.5</v>
      </c>
      <c r="C7" s="3">
        <f>'[1]по месяцам'!K22</f>
        <v>230728.5</v>
      </c>
      <c r="D7" s="3">
        <f>'[1]по месяцам'!K37</f>
        <v>163836</v>
      </c>
      <c r="E7" s="3">
        <f>'[1]по месяцам'!K52</f>
        <v>205771.5</v>
      </c>
      <c r="F7" s="3">
        <f>'[1]по месяцам'!K67</f>
        <v>133078.5</v>
      </c>
      <c r="G7" s="3">
        <f>'[1]по месяцам'!K81</f>
        <v>53109</v>
      </c>
      <c r="H7" s="3">
        <f>'[1]по месяцам'!K96</f>
        <v>0</v>
      </c>
      <c r="I7" s="3">
        <f>'[1]по месяцам'!K111</f>
        <v>0</v>
      </c>
      <c r="J7" s="3">
        <f>'[1]по месяцам'!K126</f>
        <v>366403.5</v>
      </c>
      <c r="K7" s="3">
        <f>'[1]по месяцам'!K141</f>
        <v>0</v>
      </c>
      <c r="L7" s="3">
        <f>'[1]по месяцам'!K155</f>
        <v>0</v>
      </c>
      <c r="M7" s="3">
        <f>'[1]по месяцам'!K170</f>
        <v>0</v>
      </c>
      <c r="N7" s="24">
        <f t="shared" si="0"/>
        <v>1489243.5</v>
      </c>
    </row>
    <row r="8" spans="1:14" ht="18" x14ac:dyDescent="0.25">
      <c r="A8" s="2" t="s">
        <v>21</v>
      </c>
      <c r="B8" s="3">
        <f>'[1]по месяцам'!K8</f>
        <v>40020</v>
      </c>
      <c r="C8" s="3">
        <f>'[1]по месяцам'!K23</f>
        <v>38010</v>
      </c>
      <c r="D8" s="3">
        <f>'[1]по месяцам'!K38</f>
        <v>40020</v>
      </c>
      <c r="E8" s="3">
        <f>'[1]по месяцам'!K53</f>
        <v>40020</v>
      </c>
      <c r="F8" s="3">
        <f>'[1]по месяцам'!K68</f>
        <v>40020</v>
      </c>
      <c r="G8" s="3">
        <f>'[1]по месяцам'!K82</f>
        <v>40020</v>
      </c>
      <c r="H8" s="3">
        <f>'[1]по месяцам'!K97</f>
        <v>40020</v>
      </c>
      <c r="I8" s="3">
        <f>'[1]по месяцам'!K112</f>
        <v>40020</v>
      </c>
      <c r="J8" s="3">
        <f>'[1]по месяцам'!K127</f>
        <v>40020</v>
      </c>
      <c r="K8" s="3">
        <f>'[1]по месяцам'!K142</f>
        <v>40020</v>
      </c>
      <c r="L8" s="3">
        <f>'[1]по месяцам'!K156</f>
        <v>40020</v>
      </c>
      <c r="M8" s="3">
        <f>'[1]по месяцам'!K171</f>
        <v>40020</v>
      </c>
      <c r="N8" s="24">
        <f t="shared" si="0"/>
        <v>478230</v>
      </c>
    </row>
    <row r="9" spans="1:14" ht="18" x14ac:dyDescent="0.25">
      <c r="A9" s="2" t="s">
        <v>8</v>
      </c>
      <c r="B9" s="3">
        <f>'[1]по месяцам'!K9</f>
        <v>14162</v>
      </c>
      <c r="C9" s="3">
        <f>'[1]по месяцам'!K24</f>
        <v>2000</v>
      </c>
      <c r="D9" s="3">
        <f>'[1]по месяцам'!K39</f>
        <v>14162</v>
      </c>
      <c r="E9" s="3">
        <f>'[1]по месяцам'!K54</f>
        <v>0</v>
      </c>
      <c r="F9" s="3">
        <f>'[1]по месяцам'!K69</f>
        <v>15081</v>
      </c>
      <c r="G9" s="3">
        <f>'[1]по месяцам'!K83</f>
        <v>7081</v>
      </c>
      <c r="H9" s="3">
        <f>'[1]по месяцам'!K98</f>
        <v>11081</v>
      </c>
      <c r="I9" s="3">
        <f>'[1]по месяцам'!K113</f>
        <v>4000</v>
      </c>
      <c r="J9" s="3">
        <f>'[1]по месяцам'!K128</f>
        <v>21243</v>
      </c>
      <c r="K9" s="3">
        <f>'[1]по месяцам'!K143</f>
        <v>0</v>
      </c>
      <c r="L9" s="3">
        <f>'[1]по месяцам'!K157</f>
        <v>20162</v>
      </c>
      <c r="M9" s="3">
        <f>'[1]по месяцам'!K172</f>
        <v>0</v>
      </c>
      <c r="N9" s="24">
        <f t="shared" si="0"/>
        <v>108972</v>
      </c>
    </row>
    <row r="10" spans="1:14" ht="18" x14ac:dyDescent="0.25">
      <c r="A10" s="2" t="s">
        <v>4</v>
      </c>
      <c r="B10" s="3">
        <f>'[1]по месяцам'!K10</f>
        <v>0</v>
      </c>
      <c r="C10" s="3">
        <f>'[1]по месяцам'!K25</f>
        <v>45000</v>
      </c>
      <c r="D10" s="3">
        <f>'[1]по месяцам'!K40</f>
        <v>27000</v>
      </c>
      <c r="E10" s="3">
        <f>'[1]по месяцам'!K55</f>
        <v>0</v>
      </c>
      <c r="F10" s="3">
        <f>'[1]по месяцам'!K70</f>
        <v>0</v>
      </c>
      <c r="G10" s="3">
        <f>'[1]по месяцам'!K84</f>
        <v>0</v>
      </c>
      <c r="H10" s="3">
        <f>'[1]по месяцам'!K99</f>
        <v>0</v>
      </c>
      <c r="I10" s="3">
        <f>'[1]по месяцам'!K114</f>
        <v>0</v>
      </c>
      <c r="J10" s="3">
        <f>'[1]по месяцам'!K129</f>
        <v>0</v>
      </c>
      <c r="K10" s="3">
        <f>'[1]по месяцам'!K144</f>
        <v>13000</v>
      </c>
      <c r="L10" s="3">
        <f>'[1]по месяцам'!K158</f>
        <v>52000</v>
      </c>
      <c r="M10" s="3">
        <f>'[1]по месяцам'!K173</f>
        <v>13000</v>
      </c>
      <c r="N10" s="24">
        <f t="shared" si="0"/>
        <v>150000</v>
      </c>
    </row>
    <row r="11" spans="1:14" ht="18" x14ac:dyDescent="0.25">
      <c r="A11" s="2" t="s">
        <v>2</v>
      </c>
      <c r="B11" s="3">
        <f>'[1]по месяцам'!K11</f>
        <v>2120.0700000000002</v>
      </c>
      <c r="C11" s="3">
        <f>'[1]по месяцам'!K26</f>
        <v>1940.03</v>
      </c>
      <c r="D11" s="3">
        <f>'[1]по месяцам'!K41</f>
        <v>1397.05</v>
      </c>
      <c r="E11" s="3">
        <f>'[1]по месяцам'!K56</f>
        <v>2155.0700000000002</v>
      </c>
      <c r="F11" s="3">
        <f>'[1]по месяцам'!K71</f>
        <v>2018.07</v>
      </c>
      <c r="G11" s="3">
        <f>'[1]по месяцам'!K85</f>
        <v>1508.07</v>
      </c>
      <c r="H11" s="3">
        <f>'[1]по месяцам'!K100</f>
        <v>2108.0700000000002</v>
      </c>
      <c r="I11" s="3">
        <f>'[1]по месяцам'!K115</f>
        <v>1808.07</v>
      </c>
      <c r="J11" s="3">
        <f>'[1]по месяцам'!K130</f>
        <v>2075.0700000000002</v>
      </c>
      <c r="K11" s="3">
        <f>'[1]по месяцам'!K145</f>
        <v>1465.07</v>
      </c>
      <c r="L11" s="3">
        <f>'[1]по месяцам'!K159</f>
        <v>1660.07</v>
      </c>
      <c r="M11" s="3">
        <f>'[1]по месяцам'!K174</f>
        <v>2470.11</v>
      </c>
      <c r="N11" s="24">
        <f t="shared" si="0"/>
        <v>22724.82</v>
      </c>
    </row>
    <row r="12" spans="1:14" ht="18" x14ac:dyDescent="0.25">
      <c r="A12" s="2" t="s">
        <v>23</v>
      </c>
      <c r="B12" s="3">
        <f>'[1]по месяцам'!K12</f>
        <v>35800</v>
      </c>
      <c r="C12" s="3">
        <f>'[1]по месяцам'!K27</f>
        <v>0</v>
      </c>
      <c r="D12" s="3">
        <f>'[1]по месяцам'!K42</f>
        <v>35800</v>
      </c>
      <c r="E12" s="3">
        <f>'[1]по месяцам'!K57</f>
        <v>35800</v>
      </c>
      <c r="F12" s="3">
        <f>'[1]по месяцам'!K72</f>
        <v>35800</v>
      </c>
      <c r="G12" s="3">
        <f>'[1]по месяцам'!K86</f>
        <v>0</v>
      </c>
      <c r="H12" s="3">
        <f>'[1]по месяцам'!K101</f>
        <v>71600</v>
      </c>
      <c r="I12" s="3">
        <f>'[1]по месяцам'!K116</f>
        <v>35800</v>
      </c>
      <c r="J12" s="3">
        <f>'[1]по месяцам'!K131</f>
        <v>0</v>
      </c>
      <c r="K12" s="3">
        <f>'[1]по месяцам'!K146</f>
        <v>71600</v>
      </c>
      <c r="L12" s="3">
        <f>'[1]по месяцам'!K160</f>
        <v>0</v>
      </c>
      <c r="M12" s="3">
        <f>'[1]по месяцам'!K175</f>
        <v>70100</v>
      </c>
      <c r="N12" s="24">
        <f t="shared" si="0"/>
        <v>392300</v>
      </c>
    </row>
    <row r="13" spans="1:14" ht="18" x14ac:dyDescent="0.25">
      <c r="A13" s="2" t="s">
        <v>6</v>
      </c>
      <c r="B13" s="3">
        <f>'[1]по месяцам'!K13</f>
        <v>0</v>
      </c>
      <c r="C13" s="3">
        <f>'[1]по месяцам'!K28</f>
        <v>22000</v>
      </c>
      <c r="D13" s="3">
        <f>'[1]по месяцам'!K43</f>
        <v>0</v>
      </c>
      <c r="E13" s="3">
        <f>'[1]по месяцам'!K58</f>
        <v>0</v>
      </c>
      <c r="F13" s="3">
        <v>0</v>
      </c>
      <c r="G13" s="3">
        <f>'[1]по месяцам'!K87</f>
        <v>0</v>
      </c>
      <c r="H13" s="3">
        <f>'[1]по месяцам'!K102</f>
        <v>0</v>
      </c>
      <c r="I13" s="3">
        <f>'[1]по месяцам'!K117</f>
        <v>0</v>
      </c>
      <c r="J13" s="3">
        <f>'[1]по месяцам'!K132</f>
        <v>0</v>
      </c>
      <c r="K13" s="24">
        <v>0</v>
      </c>
      <c r="L13" s="3">
        <f>'[1]по месяцам'!K161</f>
        <v>0</v>
      </c>
      <c r="M13" s="3">
        <f>'[1]по месяцам'!K176</f>
        <v>0</v>
      </c>
      <c r="N13" s="24">
        <f t="shared" si="0"/>
        <v>22000</v>
      </c>
    </row>
    <row r="14" spans="1:14" ht="12.75" customHeight="1" x14ac:dyDescent="0.25">
      <c r="A14" s="280" t="s">
        <v>7</v>
      </c>
      <c r="B14" s="281">
        <f t="shared" ref="B14:N14" si="1">SUM(B3:B13)</f>
        <v>529799.92999999993</v>
      </c>
      <c r="C14" s="281">
        <f t="shared" si="1"/>
        <v>451147.27</v>
      </c>
      <c r="D14" s="281">
        <f t="shared" si="1"/>
        <v>446375.84</v>
      </c>
      <c r="E14" s="281">
        <f t="shared" si="1"/>
        <v>441191.86000000004</v>
      </c>
      <c r="F14" s="281">
        <f t="shared" si="1"/>
        <v>440348.86</v>
      </c>
      <c r="G14" s="281">
        <f t="shared" si="1"/>
        <v>257000.31</v>
      </c>
      <c r="H14" s="281">
        <f t="shared" si="1"/>
        <v>334145.57</v>
      </c>
      <c r="I14" s="281">
        <f t="shared" si="1"/>
        <v>281194.31</v>
      </c>
      <c r="J14" s="281">
        <f t="shared" si="1"/>
        <v>589195.62</v>
      </c>
      <c r="K14" s="281">
        <f t="shared" si="1"/>
        <v>306130.86</v>
      </c>
      <c r="L14" s="281">
        <f t="shared" si="1"/>
        <v>243753.86</v>
      </c>
      <c r="M14" s="281">
        <f t="shared" si="1"/>
        <v>315228.39999999997</v>
      </c>
      <c r="N14" s="282">
        <f t="shared" si="1"/>
        <v>4635512.6900000004</v>
      </c>
    </row>
    <row r="15" spans="1:14" x14ac:dyDescent="0.25">
      <c r="A15" s="280"/>
      <c r="B15" s="281"/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2"/>
    </row>
  </sheetData>
  <mergeCells count="15">
    <mergeCell ref="A1:N1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84"/>
  <sheetViews>
    <sheetView topLeftCell="A67" workbookViewId="0">
      <selection activeCell="I90" sqref="I90"/>
    </sheetView>
  </sheetViews>
  <sheetFormatPr defaultColWidth="11.5546875" defaultRowHeight="15" x14ac:dyDescent="0.25"/>
  <cols>
    <col min="1" max="1" width="40.44140625" style="25" customWidth="1"/>
    <col min="2" max="9" width="11.88671875" style="25" customWidth="1"/>
    <col min="10" max="10" width="13.77734375" style="25" customWidth="1"/>
    <col min="11" max="11" width="12.6640625" style="25" customWidth="1"/>
    <col min="12" max="12" width="12.5546875" style="25" customWidth="1"/>
    <col min="13" max="16384" width="11.5546875" style="25"/>
  </cols>
  <sheetData>
    <row r="1" spans="1:9" ht="13.8" customHeight="1" thickBot="1" x14ac:dyDescent="0.3">
      <c r="A1" s="255" t="s">
        <v>119</v>
      </c>
      <c r="B1" s="256"/>
      <c r="C1" s="256"/>
      <c r="D1" s="256"/>
      <c r="E1" s="256"/>
      <c r="F1" s="256"/>
      <c r="G1" s="256"/>
      <c r="H1" s="256"/>
      <c r="I1" s="256"/>
    </row>
    <row r="2" spans="1:9" ht="13.8" customHeight="1" thickBot="1" x14ac:dyDescent="0.3">
      <c r="A2" s="26" t="s">
        <v>0</v>
      </c>
      <c r="B2" s="27">
        <v>45292</v>
      </c>
      <c r="C2" s="27">
        <v>45301</v>
      </c>
      <c r="D2" s="27">
        <v>45307</v>
      </c>
      <c r="E2" s="27">
        <v>45309</v>
      </c>
      <c r="F2" s="27">
        <v>45310</v>
      </c>
      <c r="G2" s="27">
        <v>45320</v>
      </c>
      <c r="H2" s="27">
        <v>45322</v>
      </c>
      <c r="I2" s="28" t="s">
        <v>1</v>
      </c>
    </row>
    <row r="3" spans="1:9" ht="13.8" customHeight="1" x14ac:dyDescent="0.25">
      <c r="A3" s="29" t="s">
        <v>22</v>
      </c>
      <c r="B3" s="30"/>
      <c r="C3" s="30">
        <v>39200</v>
      </c>
      <c r="D3" s="30"/>
      <c r="E3" s="30"/>
      <c r="F3" s="30"/>
      <c r="G3" s="31"/>
      <c r="H3" s="30">
        <v>39200</v>
      </c>
      <c r="I3" s="32">
        <f t="shared" ref="I3:I14" si="0">SUM(B3:H3)</f>
        <v>78400</v>
      </c>
    </row>
    <row r="4" spans="1:9" ht="13.8" customHeight="1" x14ac:dyDescent="0.25">
      <c r="A4" s="33" t="s">
        <v>24</v>
      </c>
      <c r="B4" s="34"/>
      <c r="C4" s="35"/>
      <c r="D4" s="34"/>
      <c r="E4" s="35"/>
      <c r="F4" s="35"/>
      <c r="G4" s="35"/>
      <c r="H4" s="35">
        <v>20010</v>
      </c>
      <c r="I4" s="34">
        <f t="shared" si="0"/>
        <v>20010</v>
      </c>
    </row>
    <row r="5" spans="1:9" ht="13.8" customHeight="1" x14ac:dyDescent="0.25">
      <c r="A5" s="33" t="s">
        <v>3</v>
      </c>
      <c r="B5" s="35">
        <v>19200</v>
      </c>
      <c r="C5" s="34">
        <v>7407.58</v>
      </c>
      <c r="D5" s="34"/>
      <c r="E5" s="35">
        <v>3703.79</v>
      </c>
      <c r="F5" s="35"/>
      <c r="G5" s="35"/>
      <c r="H5" s="35"/>
      <c r="I5" s="34">
        <f t="shared" si="0"/>
        <v>30311.370000000003</v>
      </c>
    </row>
    <row r="6" spans="1:9" ht="13.8" customHeight="1" x14ac:dyDescent="0.25">
      <c r="A6" s="33" t="s">
        <v>39</v>
      </c>
      <c r="B6" s="34"/>
      <c r="C6" s="34"/>
      <c r="D6" s="34">
        <v>600.46</v>
      </c>
      <c r="E6" s="34"/>
      <c r="F6" s="34"/>
      <c r="G6" s="34">
        <v>49326.5</v>
      </c>
      <c r="H6" s="34"/>
      <c r="I6" s="34">
        <f t="shared" si="0"/>
        <v>49926.96</v>
      </c>
    </row>
    <row r="7" spans="1:9" ht="13.8" customHeight="1" x14ac:dyDescent="0.25">
      <c r="A7" s="33" t="s">
        <v>120</v>
      </c>
      <c r="B7" s="34"/>
      <c r="C7" s="34"/>
      <c r="D7" s="34"/>
      <c r="E7" s="34"/>
      <c r="F7" s="34"/>
      <c r="G7" s="34"/>
      <c r="H7" s="34">
        <v>13930.44</v>
      </c>
      <c r="I7" s="34">
        <f t="shared" si="0"/>
        <v>13930.44</v>
      </c>
    </row>
    <row r="8" spans="1:9" ht="13.8" customHeight="1" x14ac:dyDescent="0.25">
      <c r="A8" s="33" t="s">
        <v>5</v>
      </c>
      <c r="B8" s="35"/>
      <c r="C8" s="34"/>
      <c r="D8" s="34"/>
      <c r="E8" s="35">
        <v>57258</v>
      </c>
      <c r="F8" s="35"/>
      <c r="G8" s="35"/>
      <c r="H8" s="35"/>
      <c r="I8" s="34">
        <f t="shared" si="0"/>
        <v>57258</v>
      </c>
    </row>
    <row r="9" spans="1:9" ht="13.8" customHeight="1" x14ac:dyDescent="0.25">
      <c r="A9" s="33" t="s">
        <v>21</v>
      </c>
      <c r="B9" s="34"/>
      <c r="C9" s="35"/>
      <c r="D9" s="35"/>
      <c r="E9" s="35"/>
      <c r="F9" s="35"/>
      <c r="G9" s="35"/>
      <c r="H9" s="35">
        <v>40020</v>
      </c>
      <c r="I9" s="34">
        <f t="shared" si="0"/>
        <v>40020</v>
      </c>
    </row>
    <row r="10" spans="1:9" ht="13.8" customHeight="1" x14ac:dyDescent="0.25">
      <c r="A10" s="33" t="s">
        <v>8</v>
      </c>
      <c r="B10" s="35"/>
      <c r="C10" s="34"/>
      <c r="D10" s="34"/>
      <c r="E10" s="35"/>
      <c r="F10" s="35"/>
      <c r="G10" s="35"/>
      <c r="H10" s="35">
        <v>18162</v>
      </c>
      <c r="I10" s="34">
        <f t="shared" si="0"/>
        <v>18162</v>
      </c>
    </row>
    <row r="11" spans="1:9" ht="13.8" customHeight="1" x14ac:dyDescent="0.25">
      <c r="A11" s="33" t="s">
        <v>4</v>
      </c>
      <c r="B11" s="35"/>
      <c r="C11" s="34"/>
      <c r="D11" s="34"/>
      <c r="E11" s="35"/>
      <c r="F11" s="35"/>
      <c r="G11" s="35"/>
      <c r="H11" s="35"/>
      <c r="I11" s="34">
        <f t="shared" si="0"/>
        <v>0</v>
      </c>
    </row>
    <row r="12" spans="1:9" ht="13.8" customHeight="1" x14ac:dyDescent="0.25">
      <c r="A12" s="33" t="s">
        <v>2</v>
      </c>
      <c r="B12" s="35"/>
      <c r="C12" s="34"/>
      <c r="D12" s="34"/>
      <c r="E12" s="35"/>
      <c r="F12" s="35">
        <v>1290</v>
      </c>
      <c r="G12" s="35"/>
      <c r="H12" s="35">
        <v>110.07</v>
      </c>
      <c r="I12" s="34">
        <f t="shared" si="0"/>
        <v>1400.07</v>
      </c>
    </row>
    <row r="13" spans="1:9" ht="13.8" customHeight="1" x14ac:dyDescent="0.25">
      <c r="A13" s="33" t="s">
        <v>23</v>
      </c>
      <c r="B13" s="35"/>
      <c r="C13" s="35">
        <v>35800</v>
      </c>
      <c r="D13" s="35"/>
      <c r="E13" s="35"/>
      <c r="F13" s="35"/>
      <c r="G13" s="36"/>
      <c r="H13" s="35">
        <v>35800</v>
      </c>
      <c r="I13" s="34">
        <f t="shared" si="0"/>
        <v>71600</v>
      </c>
    </row>
    <row r="14" spans="1:9" ht="13.8" customHeight="1" x14ac:dyDescent="0.25">
      <c r="A14" s="33" t="s">
        <v>6</v>
      </c>
      <c r="B14" s="34"/>
      <c r="C14" s="35"/>
      <c r="D14" s="35"/>
      <c r="E14" s="34"/>
      <c r="F14" s="34"/>
      <c r="G14" s="34"/>
      <c r="H14" s="34"/>
      <c r="I14" s="34">
        <f t="shared" si="0"/>
        <v>0</v>
      </c>
    </row>
    <row r="15" spans="1:9" ht="13.8" customHeight="1" x14ac:dyDescent="0.25">
      <c r="A15" s="258" t="s">
        <v>7</v>
      </c>
      <c r="B15" s="259">
        <f t="shared" ref="B15:H15" si="1">SUM(B3:B14)</f>
        <v>19200</v>
      </c>
      <c r="C15" s="259">
        <f t="shared" si="1"/>
        <v>82407.58</v>
      </c>
      <c r="D15" s="259">
        <f t="shared" si="1"/>
        <v>600.46</v>
      </c>
      <c r="E15" s="259">
        <f t="shared" si="1"/>
        <v>60961.79</v>
      </c>
      <c r="F15" s="259">
        <f t="shared" si="1"/>
        <v>1290</v>
      </c>
      <c r="G15" s="259">
        <f t="shared" si="1"/>
        <v>49326.5</v>
      </c>
      <c r="H15" s="259">
        <f t="shared" si="1"/>
        <v>167232.51</v>
      </c>
      <c r="I15" s="260">
        <f>SUM(I3:I14)</f>
        <v>381018.84</v>
      </c>
    </row>
    <row r="16" spans="1:9" ht="13.8" customHeight="1" thickBot="1" x14ac:dyDescent="0.3">
      <c r="A16" s="258"/>
      <c r="B16" s="259"/>
      <c r="C16" s="259"/>
      <c r="D16" s="259"/>
      <c r="E16" s="259"/>
      <c r="F16" s="259"/>
      <c r="G16" s="259"/>
      <c r="H16" s="259"/>
      <c r="I16" s="260"/>
    </row>
    <row r="17" spans="1:10" s="38" customFormat="1" ht="13.8" customHeight="1" x14ac:dyDescent="0.3">
      <c r="A17" s="284" t="s">
        <v>121</v>
      </c>
      <c r="B17" s="285"/>
      <c r="C17" s="285"/>
      <c r="D17" s="285"/>
      <c r="E17" s="285"/>
      <c r="F17" s="285"/>
      <c r="G17" s="285"/>
      <c r="H17" s="47"/>
      <c r="I17" s="47"/>
    </row>
    <row r="18" spans="1:10" ht="13.8" customHeight="1" x14ac:dyDescent="0.25">
      <c r="A18" s="48" t="s">
        <v>0</v>
      </c>
      <c r="B18" s="49">
        <v>45329</v>
      </c>
      <c r="C18" s="49">
        <v>45331</v>
      </c>
      <c r="D18" s="49">
        <v>45341</v>
      </c>
      <c r="E18" s="49">
        <v>45349</v>
      </c>
      <c r="F18" s="49">
        <v>45351</v>
      </c>
      <c r="G18" s="50" t="s">
        <v>1</v>
      </c>
    </row>
    <row r="19" spans="1:10" ht="13.8" customHeight="1" x14ac:dyDescent="0.25">
      <c r="A19" s="33" t="s">
        <v>25</v>
      </c>
      <c r="B19" s="34"/>
      <c r="C19" s="34"/>
      <c r="D19" s="34"/>
      <c r="E19" s="34"/>
      <c r="F19" s="34">
        <f>75000-35800</f>
        <v>39200</v>
      </c>
      <c r="G19" s="34">
        <f t="shared" ref="G19:G30" si="2">SUM(B19:F19)</f>
        <v>39200</v>
      </c>
    </row>
    <row r="20" spans="1:10" ht="13.8" customHeight="1" x14ac:dyDescent="0.25">
      <c r="A20" s="33" t="s">
        <v>24</v>
      </c>
      <c r="B20" s="34"/>
      <c r="C20" s="35"/>
      <c r="D20" s="34"/>
      <c r="E20" s="35"/>
      <c r="F20" s="35">
        <v>20010</v>
      </c>
      <c r="G20" s="34">
        <f t="shared" si="2"/>
        <v>20010</v>
      </c>
    </row>
    <row r="21" spans="1:10" ht="13.8" customHeight="1" x14ac:dyDescent="0.25">
      <c r="A21" s="33" t="s">
        <v>3</v>
      </c>
      <c r="B21" s="35">
        <v>56755.68</v>
      </c>
      <c r="C21" s="34"/>
      <c r="D21" s="34"/>
      <c r="E21" s="35"/>
      <c r="F21" s="35"/>
      <c r="G21" s="34">
        <f t="shared" si="2"/>
        <v>56755.68</v>
      </c>
    </row>
    <row r="22" spans="1:10" ht="13.8" customHeight="1" x14ac:dyDescent="0.25">
      <c r="A22" s="33" t="s">
        <v>39</v>
      </c>
      <c r="B22" s="34"/>
      <c r="C22" s="34"/>
      <c r="D22" s="34">
        <v>598</v>
      </c>
      <c r="E22" s="34"/>
      <c r="F22" s="34">
        <f>9000+51576.5</f>
        <v>60576.5</v>
      </c>
      <c r="G22" s="34">
        <f t="shared" si="2"/>
        <v>61174.5</v>
      </c>
    </row>
    <row r="23" spans="1:10" ht="13.8" customHeight="1" x14ac:dyDescent="0.25">
      <c r="A23" s="33" t="s">
        <v>120</v>
      </c>
      <c r="B23" s="34"/>
      <c r="C23" s="34"/>
      <c r="D23" s="34"/>
      <c r="E23" s="34"/>
      <c r="F23" s="34">
        <v>13930.44</v>
      </c>
      <c r="G23" s="34">
        <f t="shared" si="2"/>
        <v>13930.44</v>
      </c>
    </row>
    <row r="24" spans="1:10" ht="13.8" customHeight="1" x14ac:dyDescent="0.25">
      <c r="A24" s="33" t="s">
        <v>5</v>
      </c>
      <c r="B24" s="35"/>
      <c r="C24" s="34">
        <v>97011</v>
      </c>
      <c r="D24" s="34"/>
      <c r="E24" s="35"/>
      <c r="F24" s="35"/>
      <c r="G24" s="34">
        <f t="shared" si="2"/>
        <v>97011</v>
      </c>
    </row>
    <row r="25" spans="1:10" ht="13.8" customHeight="1" x14ac:dyDescent="0.25">
      <c r="A25" s="33" t="s">
        <v>21</v>
      </c>
      <c r="B25" s="34"/>
      <c r="C25" s="35"/>
      <c r="D25" s="35"/>
      <c r="E25" s="35"/>
      <c r="F25" s="35">
        <v>59142.44</v>
      </c>
      <c r="G25" s="34">
        <f t="shared" si="2"/>
        <v>59142.44</v>
      </c>
    </row>
    <row r="26" spans="1:10" ht="13.8" customHeight="1" x14ac:dyDescent="0.25">
      <c r="A26" s="33" t="s">
        <v>8</v>
      </c>
      <c r="B26" s="35"/>
      <c r="C26" s="34"/>
      <c r="D26" s="34"/>
      <c r="E26" s="35"/>
      <c r="F26" s="35"/>
      <c r="G26" s="34">
        <f t="shared" si="2"/>
        <v>0</v>
      </c>
    </row>
    <row r="27" spans="1:10" ht="13.8" customHeight="1" x14ac:dyDescent="0.25">
      <c r="A27" s="33" t="s">
        <v>4</v>
      </c>
      <c r="B27" s="35"/>
      <c r="C27" s="34"/>
      <c r="D27" s="34"/>
      <c r="E27" s="35"/>
      <c r="F27" s="35"/>
      <c r="G27" s="34">
        <f t="shared" si="2"/>
        <v>0</v>
      </c>
      <c r="J27" s="51"/>
    </row>
    <row r="28" spans="1:10" ht="13.8" customHeight="1" x14ac:dyDescent="0.25">
      <c r="A28" s="33" t="s">
        <v>2</v>
      </c>
      <c r="B28" s="35"/>
      <c r="C28" s="34"/>
      <c r="D28" s="34">
        <v>1290</v>
      </c>
      <c r="E28" s="35">
        <v>450</v>
      </c>
      <c r="F28" s="35">
        <v>50.03</v>
      </c>
      <c r="G28" s="34">
        <f t="shared" si="2"/>
        <v>1790.03</v>
      </c>
    </row>
    <row r="29" spans="1:10" ht="13.8" customHeight="1" x14ac:dyDescent="0.25">
      <c r="A29" s="33" t="s">
        <v>23</v>
      </c>
      <c r="B29" s="35"/>
      <c r="C29" s="35"/>
      <c r="D29" s="35"/>
      <c r="E29" s="35"/>
      <c r="F29" s="35">
        <v>35800</v>
      </c>
      <c r="G29" s="34">
        <f t="shared" si="2"/>
        <v>35800</v>
      </c>
    </row>
    <row r="30" spans="1:10" ht="13.8" customHeight="1" x14ac:dyDescent="0.25">
      <c r="A30" s="33" t="s">
        <v>6</v>
      </c>
      <c r="B30" s="34"/>
      <c r="C30" s="35"/>
      <c r="D30" s="35"/>
      <c r="E30" s="34"/>
      <c r="F30" s="34"/>
      <c r="G30" s="34">
        <f t="shared" si="2"/>
        <v>0</v>
      </c>
    </row>
    <row r="31" spans="1:10" ht="13.8" customHeight="1" x14ac:dyDescent="0.25">
      <c r="A31" s="258" t="s">
        <v>7</v>
      </c>
      <c r="B31" s="259">
        <f t="shared" ref="B31:G31" si="3">SUM(B19:B30)</f>
        <v>56755.68</v>
      </c>
      <c r="C31" s="259">
        <f t="shared" si="3"/>
        <v>97011</v>
      </c>
      <c r="D31" s="259">
        <f t="shared" si="3"/>
        <v>1888</v>
      </c>
      <c r="E31" s="259">
        <f t="shared" si="3"/>
        <v>450</v>
      </c>
      <c r="F31" s="259">
        <f t="shared" si="3"/>
        <v>228709.41</v>
      </c>
      <c r="G31" s="260">
        <f t="shared" si="3"/>
        <v>384814.09</v>
      </c>
    </row>
    <row r="32" spans="1:10" ht="13.8" customHeight="1" x14ac:dyDescent="0.25">
      <c r="A32" s="277"/>
      <c r="B32" s="273"/>
      <c r="C32" s="273"/>
      <c r="D32" s="273"/>
      <c r="E32" s="273"/>
      <c r="F32" s="273"/>
      <c r="G32" s="275"/>
    </row>
    <row r="33" spans="1:11" s="38" customFormat="1" ht="13.8" customHeight="1" x14ac:dyDescent="0.3">
      <c r="A33" s="286" t="s">
        <v>122</v>
      </c>
      <c r="B33" s="286"/>
      <c r="C33" s="286"/>
      <c r="D33" s="286"/>
      <c r="E33" s="286"/>
      <c r="F33" s="286"/>
      <c r="G33" s="286"/>
      <c r="H33" s="52"/>
      <c r="I33" s="52"/>
      <c r="J33" s="52"/>
      <c r="K33" s="52"/>
    </row>
    <row r="34" spans="1:11" ht="13.8" customHeight="1" x14ac:dyDescent="0.25">
      <c r="A34" s="48" t="s">
        <v>0</v>
      </c>
      <c r="B34" s="49">
        <v>45356</v>
      </c>
      <c r="C34" s="49">
        <v>45362</v>
      </c>
      <c r="D34" s="49">
        <v>45363</v>
      </c>
      <c r="E34" s="49">
        <v>45365</v>
      </c>
      <c r="F34" s="49">
        <v>45370</v>
      </c>
      <c r="G34" s="49">
        <v>45379</v>
      </c>
      <c r="H34" s="49">
        <v>45382</v>
      </c>
      <c r="I34" s="50" t="s">
        <v>1</v>
      </c>
    </row>
    <row r="35" spans="1:11" ht="13.8" customHeight="1" x14ac:dyDescent="0.25">
      <c r="A35" s="33" t="s">
        <v>22</v>
      </c>
      <c r="B35" s="34"/>
      <c r="C35" s="34"/>
      <c r="D35" s="34"/>
      <c r="E35" s="34"/>
      <c r="F35" s="34"/>
      <c r="G35" s="34"/>
      <c r="H35" s="34">
        <f>75000-35800</f>
        <v>39200</v>
      </c>
      <c r="I35" s="34">
        <f t="shared" ref="I35:I46" si="4">SUM(B35:H35)</f>
        <v>39200</v>
      </c>
    </row>
    <row r="36" spans="1:11" ht="13.8" customHeight="1" x14ac:dyDescent="0.25">
      <c r="A36" s="33" t="s">
        <v>24</v>
      </c>
      <c r="B36" s="34"/>
      <c r="C36" s="35"/>
      <c r="D36" s="34"/>
      <c r="E36" s="35"/>
      <c r="F36" s="35"/>
      <c r="G36" s="35"/>
      <c r="H36" s="35">
        <v>20010</v>
      </c>
      <c r="I36" s="34">
        <f t="shared" si="4"/>
        <v>20010</v>
      </c>
    </row>
    <row r="37" spans="1:11" ht="13.8" customHeight="1" x14ac:dyDescent="0.25">
      <c r="A37" s="33" t="s">
        <v>3</v>
      </c>
      <c r="B37" s="35">
        <v>20800</v>
      </c>
      <c r="C37" s="34"/>
      <c r="D37" s="34">
        <v>3703.79</v>
      </c>
      <c r="E37" s="35"/>
      <c r="F37" s="35"/>
      <c r="G37" s="35"/>
      <c r="H37" s="35"/>
      <c r="I37" s="34">
        <f t="shared" si="4"/>
        <v>24503.79</v>
      </c>
    </row>
    <row r="38" spans="1:11" ht="13.8" customHeight="1" x14ac:dyDescent="0.25">
      <c r="A38" s="33" t="s">
        <v>39</v>
      </c>
      <c r="B38" s="34">
        <v>20183.73</v>
      </c>
      <c r="C38" s="34"/>
      <c r="D38" s="34"/>
      <c r="E38" s="34"/>
      <c r="F38" s="34"/>
      <c r="G38" s="34">
        <v>37900</v>
      </c>
      <c r="H38" s="34"/>
      <c r="I38" s="34">
        <f t="shared" si="4"/>
        <v>58083.729999999996</v>
      </c>
    </row>
    <row r="39" spans="1:11" ht="13.8" customHeight="1" x14ac:dyDescent="0.25">
      <c r="A39" s="33" t="s">
        <v>120</v>
      </c>
      <c r="B39" s="34"/>
      <c r="C39" s="34"/>
      <c r="D39" s="34"/>
      <c r="E39" s="34"/>
      <c r="F39" s="34"/>
      <c r="G39" s="34">
        <v>13930.44</v>
      </c>
      <c r="H39" s="34"/>
      <c r="I39" s="34">
        <f t="shared" si="4"/>
        <v>13930.44</v>
      </c>
    </row>
    <row r="40" spans="1:11" ht="13.8" customHeight="1" x14ac:dyDescent="0.25">
      <c r="A40" s="33" t="s">
        <v>5</v>
      </c>
      <c r="B40" s="35"/>
      <c r="C40" s="34"/>
      <c r="D40" s="34"/>
      <c r="E40" s="35">
        <v>130612.5</v>
      </c>
      <c r="F40" s="35"/>
      <c r="G40" s="35"/>
      <c r="H40" s="35"/>
      <c r="I40" s="34">
        <f t="shared" si="4"/>
        <v>130612.5</v>
      </c>
    </row>
    <row r="41" spans="1:11" ht="13.8" customHeight="1" x14ac:dyDescent="0.25">
      <c r="A41" s="33" t="s">
        <v>21</v>
      </c>
      <c r="B41" s="34"/>
      <c r="C41" s="35"/>
      <c r="D41" s="35"/>
      <c r="E41" s="35"/>
      <c r="F41" s="35"/>
      <c r="G41" s="35"/>
      <c r="H41" s="35">
        <v>20010</v>
      </c>
      <c r="I41" s="34">
        <f t="shared" si="4"/>
        <v>20010</v>
      </c>
    </row>
    <row r="42" spans="1:11" ht="13.8" customHeight="1" x14ac:dyDescent="0.25">
      <c r="A42" s="33" t="s">
        <v>8</v>
      </c>
      <c r="B42" s="35"/>
      <c r="C42" s="34"/>
      <c r="D42" s="34"/>
      <c r="E42" s="35"/>
      <c r="F42" s="35"/>
      <c r="G42" s="35"/>
      <c r="H42" s="35">
        <v>18162</v>
      </c>
      <c r="I42" s="34">
        <f t="shared" si="4"/>
        <v>18162</v>
      </c>
    </row>
    <row r="43" spans="1:11" ht="13.8" customHeight="1" x14ac:dyDescent="0.25">
      <c r="A43" s="33" t="s">
        <v>4</v>
      </c>
      <c r="B43" s="35"/>
      <c r="C43" s="34"/>
      <c r="D43" s="34"/>
      <c r="E43" s="35"/>
      <c r="F43" s="35"/>
      <c r="G43" s="35"/>
      <c r="H43" s="35"/>
      <c r="I43" s="34">
        <f t="shared" si="4"/>
        <v>0</v>
      </c>
    </row>
    <row r="44" spans="1:11" ht="13.8" customHeight="1" x14ac:dyDescent="0.25">
      <c r="A44" s="33" t="s">
        <v>2</v>
      </c>
      <c r="B44" s="35"/>
      <c r="C44" s="34">
        <v>88.72</v>
      </c>
      <c r="D44" s="34"/>
      <c r="E44" s="35"/>
      <c r="F44" s="35">
        <v>1290</v>
      </c>
      <c r="G44" s="35"/>
      <c r="H44" s="35">
        <v>50.03</v>
      </c>
      <c r="I44" s="34">
        <f t="shared" si="4"/>
        <v>1428.75</v>
      </c>
    </row>
    <row r="45" spans="1:11" ht="13.8" customHeight="1" x14ac:dyDescent="0.25">
      <c r="A45" s="33" t="s">
        <v>23</v>
      </c>
      <c r="B45" s="34"/>
      <c r="C45" s="34"/>
      <c r="D45" s="34"/>
      <c r="E45" s="34"/>
      <c r="F45" s="34"/>
      <c r="G45" s="34"/>
      <c r="H45" s="35">
        <v>35800</v>
      </c>
      <c r="I45" s="34">
        <f t="shared" si="4"/>
        <v>35800</v>
      </c>
    </row>
    <row r="46" spans="1:11" ht="13.8" customHeight="1" x14ac:dyDescent="0.25">
      <c r="A46" s="33" t="s">
        <v>6</v>
      </c>
      <c r="B46" s="34"/>
      <c r="C46" s="35"/>
      <c r="D46" s="35"/>
      <c r="E46" s="34"/>
      <c r="F46" s="34"/>
      <c r="G46" s="34"/>
      <c r="H46" s="34"/>
      <c r="I46" s="34">
        <f t="shared" si="4"/>
        <v>0</v>
      </c>
    </row>
    <row r="47" spans="1:11" ht="13.8" customHeight="1" x14ac:dyDescent="0.25">
      <c r="A47" s="258" t="s">
        <v>7</v>
      </c>
      <c r="B47" s="259"/>
      <c r="C47" s="259"/>
      <c r="D47" s="259"/>
      <c r="E47" s="259"/>
      <c r="F47" s="259"/>
      <c r="G47" s="259"/>
      <c r="H47" s="259"/>
      <c r="I47" s="260">
        <f>SUM(I35:I46)</f>
        <v>361741.21</v>
      </c>
    </row>
    <row r="48" spans="1:11" ht="13.8" customHeight="1" x14ac:dyDescent="0.25">
      <c r="A48" s="258"/>
      <c r="B48" s="259"/>
      <c r="C48" s="259"/>
      <c r="D48" s="259"/>
      <c r="E48" s="259"/>
      <c r="F48" s="259"/>
      <c r="G48" s="259"/>
      <c r="H48" s="259"/>
      <c r="I48" s="260"/>
    </row>
    <row r="49" spans="1:11" s="38" customFormat="1" ht="13.8" customHeight="1" thickBot="1" x14ac:dyDescent="0.35">
      <c r="A49" s="53" t="s">
        <v>123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 ht="13.8" customHeight="1" thickBot="1" x14ac:dyDescent="0.3">
      <c r="A50" s="42" t="s">
        <v>0</v>
      </c>
      <c r="B50" s="43">
        <v>45384</v>
      </c>
      <c r="C50" s="43">
        <v>45385</v>
      </c>
      <c r="D50" s="43">
        <v>45390</v>
      </c>
      <c r="E50" s="43">
        <v>45393</v>
      </c>
      <c r="F50" s="43">
        <v>45401</v>
      </c>
      <c r="G50" s="28" t="s">
        <v>1</v>
      </c>
    </row>
    <row r="51" spans="1:11" ht="13.8" customHeight="1" x14ac:dyDescent="0.25">
      <c r="A51" s="33" t="s">
        <v>22</v>
      </c>
      <c r="B51" s="32"/>
      <c r="C51" s="30"/>
      <c r="D51" s="30"/>
      <c r="E51" s="30"/>
      <c r="F51" s="30"/>
      <c r="G51" s="32">
        <f t="shared" ref="G51:G62" si="5">SUM(B51:F51)</f>
        <v>0</v>
      </c>
    </row>
    <row r="52" spans="1:11" ht="13.8" customHeight="1" x14ac:dyDescent="0.25">
      <c r="A52" s="33" t="s">
        <v>24</v>
      </c>
      <c r="B52" s="34"/>
      <c r="C52" s="35"/>
      <c r="D52" s="34"/>
      <c r="E52" s="35"/>
      <c r="F52" s="35"/>
      <c r="G52" s="34">
        <f t="shared" si="5"/>
        <v>0</v>
      </c>
    </row>
    <row r="53" spans="1:11" ht="13.8" customHeight="1" x14ac:dyDescent="0.25">
      <c r="A53" s="33" t="s">
        <v>3</v>
      </c>
      <c r="B53" s="34"/>
      <c r="C53" s="34">
        <v>31200</v>
      </c>
      <c r="D53" s="34">
        <v>3703.79</v>
      </c>
      <c r="E53" s="34"/>
      <c r="F53" s="34"/>
      <c r="G53" s="34">
        <f t="shared" si="5"/>
        <v>34903.79</v>
      </c>
    </row>
    <row r="54" spans="1:11" ht="13.8" customHeight="1" x14ac:dyDescent="0.25">
      <c r="A54" s="33" t="s">
        <v>39</v>
      </c>
      <c r="B54" s="35">
        <v>21.04</v>
      </c>
      <c r="C54" s="34">
        <v>16367</v>
      </c>
      <c r="D54" s="34"/>
      <c r="E54" s="35"/>
      <c r="F54" s="35"/>
      <c r="G54" s="34">
        <f t="shared" si="5"/>
        <v>16388.04</v>
      </c>
    </row>
    <row r="55" spans="1:11" ht="13.8" customHeight="1" x14ac:dyDescent="0.25">
      <c r="A55" s="33" t="s">
        <v>120</v>
      </c>
      <c r="B55" s="34"/>
      <c r="C55" s="34"/>
      <c r="D55" s="34"/>
      <c r="E55" s="34"/>
      <c r="F55" s="34"/>
      <c r="G55" s="34">
        <f t="shared" si="5"/>
        <v>0</v>
      </c>
    </row>
    <row r="56" spans="1:11" ht="13.8" customHeight="1" x14ac:dyDescent="0.25">
      <c r="A56" s="33" t="s">
        <v>5</v>
      </c>
      <c r="B56" s="35"/>
      <c r="C56" s="34"/>
      <c r="D56" s="34"/>
      <c r="E56" s="35"/>
      <c r="F56" s="35"/>
      <c r="G56" s="34">
        <f t="shared" si="5"/>
        <v>0</v>
      </c>
    </row>
    <row r="57" spans="1:11" ht="13.8" customHeight="1" x14ac:dyDescent="0.25">
      <c r="A57" s="33" t="s">
        <v>21</v>
      </c>
      <c r="B57" s="35"/>
      <c r="C57" s="35"/>
      <c r="D57" s="35"/>
      <c r="E57" s="35"/>
      <c r="F57" s="35"/>
      <c r="G57" s="34">
        <f t="shared" si="5"/>
        <v>0</v>
      </c>
    </row>
    <row r="58" spans="1:11" ht="13.8" customHeight="1" x14ac:dyDescent="0.25">
      <c r="A58" s="33" t="s">
        <v>8</v>
      </c>
      <c r="B58" s="35"/>
      <c r="C58" s="34"/>
      <c r="D58" s="34"/>
      <c r="E58" s="35"/>
      <c r="F58" s="35"/>
      <c r="G58" s="34">
        <f t="shared" si="5"/>
        <v>0</v>
      </c>
    </row>
    <row r="59" spans="1:11" ht="13.8" customHeight="1" x14ac:dyDescent="0.25">
      <c r="A59" s="33" t="s">
        <v>4</v>
      </c>
      <c r="B59" s="35"/>
      <c r="C59" s="34"/>
      <c r="D59" s="34"/>
      <c r="E59" s="35"/>
      <c r="F59" s="35"/>
      <c r="G59" s="34">
        <f t="shared" si="5"/>
        <v>0</v>
      </c>
    </row>
    <row r="60" spans="1:11" ht="13.8" customHeight="1" x14ac:dyDescent="0.25">
      <c r="A60" s="33" t="s">
        <v>2</v>
      </c>
      <c r="B60" s="35"/>
      <c r="C60" s="34"/>
      <c r="D60" s="34"/>
      <c r="E60" s="35">
        <v>30.02</v>
      </c>
      <c r="F60" s="35">
        <v>1290</v>
      </c>
      <c r="G60" s="34">
        <f t="shared" si="5"/>
        <v>1320.02</v>
      </c>
    </row>
    <row r="61" spans="1:11" ht="13.8" customHeight="1" x14ac:dyDescent="0.25">
      <c r="A61" s="33" t="s">
        <v>23</v>
      </c>
      <c r="B61" s="34"/>
      <c r="C61" s="35"/>
      <c r="D61" s="35"/>
      <c r="E61" s="34"/>
      <c r="F61" s="34"/>
      <c r="G61" s="34">
        <f t="shared" si="5"/>
        <v>0</v>
      </c>
    </row>
    <row r="62" spans="1:11" ht="13.8" customHeight="1" x14ac:dyDescent="0.25">
      <c r="A62" s="33" t="s">
        <v>6</v>
      </c>
      <c r="B62" s="34"/>
      <c r="C62" s="34"/>
      <c r="D62" s="34"/>
      <c r="E62" s="34"/>
      <c r="F62" s="34"/>
      <c r="G62" s="34">
        <f t="shared" si="5"/>
        <v>0</v>
      </c>
    </row>
    <row r="63" spans="1:11" ht="13.8" customHeight="1" x14ac:dyDescent="0.25">
      <c r="A63" s="258" t="s">
        <v>7</v>
      </c>
      <c r="B63" s="259">
        <f t="shared" ref="B63:G63" si="6">SUM(B51:B62)</f>
        <v>21.04</v>
      </c>
      <c r="C63" s="259">
        <f t="shared" si="6"/>
        <v>47567</v>
      </c>
      <c r="D63" s="259">
        <f t="shared" si="6"/>
        <v>3703.79</v>
      </c>
      <c r="E63" s="259">
        <f t="shared" si="6"/>
        <v>30.02</v>
      </c>
      <c r="F63" s="259">
        <f t="shared" si="6"/>
        <v>1290</v>
      </c>
      <c r="G63" s="260">
        <f t="shared" si="6"/>
        <v>52611.85</v>
      </c>
    </row>
    <row r="64" spans="1:11" ht="13.8" customHeight="1" x14ac:dyDescent="0.25">
      <c r="A64" s="258"/>
      <c r="B64" s="259"/>
      <c r="C64" s="259"/>
      <c r="D64" s="259"/>
      <c r="E64" s="259"/>
      <c r="F64" s="259"/>
      <c r="G64" s="260"/>
    </row>
    <row r="65" spans="1:13" s="38" customFormat="1" ht="13.8" customHeight="1" thickBot="1" x14ac:dyDescent="0.35">
      <c r="A65" s="262" t="s">
        <v>124</v>
      </c>
      <c r="B65" s="262"/>
      <c r="C65" s="262"/>
      <c r="D65" s="262"/>
      <c r="E65" s="262"/>
      <c r="F65" s="262"/>
      <c r="G65" s="262"/>
      <c r="H65" s="262"/>
      <c r="I65" s="262"/>
      <c r="J65" s="262"/>
      <c r="K65" s="262"/>
    </row>
    <row r="66" spans="1:13" ht="13.8" customHeight="1" thickBot="1" x14ac:dyDescent="0.3">
      <c r="A66" s="26" t="s">
        <v>0</v>
      </c>
      <c r="B66" s="27">
        <v>45413</v>
      </c>
      <c r="C66" s="27">
        <v>45420</v>
      </c>
      <c r="D66" s="27">
        <v>45422</v>
      </c>
      <c r="E66" s="27">
        <v>45425</v>
      </c>
      <c r="F66" s="27">
        <v>45427</v>
      </c>
      <c r="G66" s="27">
        <v>45431</v>
      </c>
      <c r="H66" s="27">
        <v>45439</v>
      </c>
      <c r="I66" s="27">
        <v>45442</v>
      </c>
      <c r="J66" s="27">
        <v>45443</v>
      </c>
      <c r="K66" s="28" t="s">
        <v>1</v>
      </c>
    </row>
    <row r="67" spans="1:13" ht="13.8" customHeight="1" x14ac:dyDescent="0.25">
      <c r="A67" s="45" t="s">
        <v>22</v>
      </c>
      <c r="B67" s="32">
        <v>39200</v>
      </c>
      <c r="C67" s="30"/>
      <c r="D67" s="30"/>
      <c r="E67" s="30"/>
      <c r="F67" s="30"/>
      <c r="G67" s="30"/>
      <c r="H67" s="30"/>
      <c r="I67" s="30"/>
      <c r="J67" s="30">
        <v>39200</v>
      </c>
      <c r="K67" s="46">
        <f t="shared" ref="K67:K78" si="7">SUM(B67:J67)</f>
        <v>78400</v>
      </c>
    </row>
    <row r="68" spans="1:13" ht="13.8" customHeight="1" x14ac:dyDescent="0.25">
      <c r="A68" s="45" t="s">
        <v>24</v>
      </c>
      <c r="B68" s="34">
        <v>20010</v>
      </c>
      <c r="C68" s="35"/>
      <c r="D68" s="34"/>
      <c r="E68" s="35"/>
      <c r="F68" s="35"/>
      <c r="G68" s="35"/>
      <c r="H68" s="35"/>
      <c r="I68" s="35"/>
      <c r="J68" s="35">
        <v>20010</v>
      </c>
      <c r="K68" s="46">
        <f t="shared" si="7"/>
        <v>40020</v>
      </c>
    </row>
    <row r="69" spans="1:13" ht="13.8" customHeight="1" x14ac:dyDescent="0.25">
      <c r="A69" s="45" t="s">
        <v>3</v>
      </c>
      <c r="B69" s="34"/>
      <c r="C69" s="34">
        <v>83200</v>
      </c>
      <c r="D69" s="34"/>
      <c r="E69" s="34"/>
      <c r="F69" s="34">
        <v>6481.63</v>
      </c>
      <c r="G69" s="34"/>
      <c r="H69" s="34"/>
      <c r="I69" s="34"/>
      <c r="J69" s="34">
        <v>31200</v>
      </c>
      <c r="K69" s="46">
        <f t="shared" si="7"/>
        <v>120881.63</v>
      </c>
    </row>
    <row r="70" spans="1:13" ht="13.8" customHeight="1" x14ac:dyDescent="0.25">
      <c r="A70" s="45" t="s">
        <v>39</v>
      </c>
      <c r="B70" s="35">
        <v>50000</v>
      </c>
      <c r="C70" s="34"/>
      <c r="D70" s="34"/>
      <c r="E70" s="35"/>
      <c r="F70" s="35">
        <v>1200</v>
      </c>
      <c r="G70" s="35">
        <v>1290</v>
      </c>
      <c r="H70" s="35">
        <v>55320</v>
      </c>
      <c r="I70" s="35"/>
      <c r="J70" s="35"/>
      <c r="K70" s="46">
        <f t="shared" si="7"/>
        <v>107810</v>
      </c>
    </row>
    <row r="71" spans="1:13" ht="13.8" customHeight="1" x14ac:dyDescent="0.25">
      <c r="A71" s="33" t="s">
        <v>120</v>
      </c>
      <c r="B71" s="35">
        <v>13930.44</v>
      </c>
      <c r="C71" s="34"/>
      <c r="D71" s="34"/>
      <c r="E71" s="35"/>
      <c r="F71" s="35"/>
      <c r="G71" s="35"/>
      <c r="H71" s="35"/>
      <c r="I71" s="35"/>
      <c r="J71" s="35">
        <v>13930.44</v>
      </c>
      <c r="K71" s="46">
        <f t="shared" si="7"/>
        <v>27860.880000000001</v>
      </c>
    </row>
    <row r="72" spans="1:13" ht="13.8" customHeight="1" x14ac:dyDescent="0.25">
      <c r="A72" s="45" t="s">
        <v>5</v>
      </c>
      <c r="B72" s="35"/>
      <c r="C72" s="34"/>
      <c r="D72" s="34"/>
      <c r="E72" s="35"/>
      <c r="F72" s="35">
        <v>379.8</v>
      </c>
      <c r="G72" s="35"/>
      <c r="H72" s="35"/>
      <c r="I72" s="35"/>
      <c r="J72" s="35"/>
      <c r="K72" s="46">
        <f t="shared" si="7"/>
        <v>379.8</v>
      </c>
    </row>
    <row r="73" spans="1:13" ht="13.8" customHeight="1" x14ac:dyDescent="0.25">
      <c r="A73" s="45" t="s">
        <v>21</v>
      </c>
      <c r="B73" s="35">
        <v>40020</v>
      </c>
      <c r="C73" s="34"/>
      <c r="D73" s="34"/>
      <c r="E73" s="35"/>
      <c r="F73" s="35"/>
      <c r="G73" s="35"/>
      <c r="H73" s="35"/>
      <c r="I73" s="35"/>
      <c r="J73" s="35">
        <v>40020</v>
      </c>
      <c r="K73" s="46">
        <f t="shared" si="7"/>
        <v>80040</v>
      </c>
    </row>
    <row r="74" spans="1:13" ht="13.8" customHeight="1" x14ac:dyDescent="0.25">
      <c r="A74" s="45" t="s">
        <v>8</v>
      </c>
      <c r="B74" s="35"/>
      <c r="C74" s="35"/>
      <c r="D74" s="35"/>
      <c r="E74" s="35"/>
      <c r="F74" s="35">
        <v>14162</v>
      </c>
      <c r="G74" s="36"/>
      <c r="H74" s="36"/>
      <c r="I74" s="36"/>
      <c r="J74" s="35">
        <v>4000</v>
      </c>
      <c r="K74" s="46">
        <f t="shared" si="7"/>
        <v>18162</v>
      </c>
    </row>
    <row r="75" spans="1:13" ht="13.8" customHeight="1" x14ac:dyDescent="0.25">
      <c r="A75" s="45" t="s">
        <v>4</v>
      </c>
      <c r="B75" s="35"/>
      <c r="C75" s="35"/>
      <c r="D75" s="35"/>
      <c r="E75" s="35"/>
      <c r="F75" s="35"/>
      <c r="G75" s="36"/>
      <c r="H75" s="36"/>
      <c r="I75" s="36"/>
      <c r="J75" s="35"/>
      <c r="K75" s="46">
        <f t="shared" si="7"/>
        <v>0</v>
      </c>
    </row>
    <row r="76" spans="1:13" ht="13.8" customHeight="1" x14ac:dyDescent="0.25">
      <c r="A76" s="45" t="s">
        <v>2</v>
      </c>
      <c r="B76" s="35">
        <v>50.03</v>
      </c>
      <c r="C76" s="34"/>
      <c r="D76" s="34">
        <v>125</v>
      </c>
      <c r="E76" s="35">
        <v>60.04</v>
      </c>
      <c r="F76" s="35"/>
      <c r="G76" s="35"/>
      <c r="H76" s="35"/>
      <c r="I76" s="35">
        <v>600</v>
      </c>
      <c r="J76" s="35">
        <v>50.03</v>
      </c>
      <c r="K76" s="46">
        <f t="shared" si="7"/>
        <v>885.09999999999991</v>
      </c>
    </row>
    <row r="77" spans="1:13" ht="13.8" customHeight="1" x14ac:dyDescent="0.25">
      <c r="A77" s="45" t="s">
        <v>23</v>
      </c>
      <c r="B77" s="34">
        <v>35800</v>
      </c>
      <c r="C77" s="35"/>
      <c r="D77" s="35"/>
      <c r="E77" s="34"/>
      <c r="F77" s="34"/>
      <c r="G77" s="34"/>
      <c r="H77" s="34"/>
      <c r="I77" s="34"/>
      <c r="J77" s="34">
        <v>35800</v>
      </c>
      <c r="K77" s="46">
        <f t="shared" si="7"/>
        <v>71600</v>
      </c>
    </row>
    <row r="78" spans="1:13" ht="13.8" customHeight="1" x14ac:dyDescent="0.25">
      <c r="A78" s="45" t="s">
        <v>6</v>
      </c>
      <c r="B78" s="34"/>
      <c r="C78" s="35"/>
      <c r="D78" s="35">
        <v>25000</v>
      </c>
      <c r="E78" s="34"/>
      <c r="F78" s="34"/>
      <c r="G78" s="34"/>
      <c r="H78" s="34"/>
      <c r="I78" s="34"/>
      <c r="J78" s="34"/>
      <c r="K78" s="46">
        <f t="shared" si="7"/>
        <v>25000</v>
      </c>
    </row>
    <row r="79" spans="1:13" ht="13.8" customHeight="1" x14ac:dyDescent="0.25">
      <c r="A79" s="266" t="s">
        <v>7</v>
      </c>
      <c r="B79" s="259">
        <f>SUM(B67:B77)</f>
        <v>199010.47</v>
      </c>
      <c r="C79" s="259">
        <f t="shared" ref="C79:J79" si="8">SUM(C67:C77)</f>
        <v>83200</v>
      </c>
      <c r="D79" s="259">
        <f t="shared" si="8"/>
        <v>125</v>
      </c>
      <c r="E79" s="259">
        <f t="shared" si="8"/>
        <v>60.04</v>
      </c>
      <c r="F79" s="259">
        <f t="shared" si="8"/>
        <v>22223.43</v>
      </c>
      <c r="G79" s="259">
        <f t="shared" si="8"/>
        <v>1290</v>
      </c>
      <c r="H79" s="259">
        <f t="shared" si="8"/>
        <v>55320</v>
      </c>
      <c r="I79" s="259">
        <f t="shared" si="8"/>
        <v>600</v>
      </c>
      <c r="J79" s="259">
        <f t="shared" si="8"/>
        <v>184210.47</v>
      </c>
      <c r="K79" s="264">
        <f>SUM(K67:K78)</f>
        <v>571039.40999999992</v>
      </c>
    </row>
    <row r="80" spans="1:13" ht="13.8" customHeight="1" thickBot="1" x14ac:dyDescent="0.3">
      <c r="A80" s="267"/>
      <c r="B80" s="263"/>
      <c r="C80" s="263"/>
      <c r="D80" s="263"/>
      <c r="E80" s="263"/>
      <c r="F80" s="263"/>
      <c r="G80" s="263"/>
      <c r="H80" s="263"/>
      <c r="I80" s="263"/>
      <c r="J80" s="263"/>
      <c r="K80" s="265"/>
      <c r="M80" s="37"/>
    </row>
    <row r="81" spans="1:11" s="38" customFormat="1" ht="13.8" customHeight="1" thickBot="1" x14ac:dyDescent="0.35">
      <c r="A81" s="262" t="s">
        <v>125</v>
      </c>
      <c r="B81" s="262"/>
      <c r="C81" s="262"/>
      <c r="D81" s="262"/>
      <c r="E81" s="262"/>
      <c r="F81" s="262"/>
      <c r="G81" s="262"/>
      <c r="H81" s="262"/>
      <c r="I81" s="262"/>
      <c r="J81" s="262"/>
      <c r="K81" s="262"/>
    </row>
    <row r="82" spans="1:11" ht="13.8" customHeight="1" thickBot="1" x14ac:dyDescent="0.3">
      <c r="A82" s="26" t="s">
        <v>0</v>
      </c>
      <c r="B82" s="27">
        <v>45446</v>
      </c>
      <c r="C82" s="27">
        <v>45453</v>
      </c>
      <c r="D82" s="27">
        <v>45454</v>
      </c>
      <c r="E82" s="27">
        <v>45457</v>
      </c>
      <c r="F82" s="27">
        <v>45460</v>
      </c>
      <c r="G82" s="27">
        <v>45462</v>
      </c>
      <c r="H82" s="27">
        <v>45468</v>
      </c>
      <c r="I82" s="27">
        <v>45472</v>
      </c>
      <c r="J82" s="27">
        <v>45473</v>
      </c>
      <c r="K82" s="28" t="s">
        <v>1</v>
      </c>
    </row>
    <row r="83" spans="1:11" ht="13.8" customHeight="1" x14ac:dyDescent="0.25">
      <c r="A83" s="33" t="s">
        <v>22</v>
      </c>
      <c r="B83" s="32"/>
      <c r="C83" s="30"/>
      <c r="D83" s="30"/>
      <c r="E83" s="30"/>
      <c r="F83" s="30"/>
      <c r="G83" s="30"/>
      <c r="H83" s="30"/>
      <c r="I83" s="30"/>
      <c r="J83" s="30">
        <v>39200</v>
      </c>
      <c r="K83" s="32">
        <f t="shared" ref="K83:K94" si="9">SUM(B83:J83)</f>
        <v>39200</v>
      </c>
    </row>
    <row r="84" spans="1:11" ht="13.8" customHeight="1" x14ac:dyDescent="0.25">
      <c r="A84" s="33" t="s">
        <v>24</v>
      </c>
      <c r="B84" s="34"/>
      <c r="C84" s="35"/>
      <c r="D84" s="34"/>
      <c r="E84" s="35"/>
      <c r="F84" s="35"/>
      <c r="G84" s="35"/>
      <c r="H84" s="35"/>
      <c r="I84" s="35"/>
      <c r="J84" s="35">
        <v>20010</v>
      </c>
      <c r="K84" s="34">
        <f t="shared" si="9"/>
        <v>20010</v>
      </c>
    </row>
    <row r="85" spans="1:11" ht="13.8" customHeight="1" x14ac:dyDescent="0.25">
      <c r="A85" s="33" t="s">
        <v>3</v>
      </c>
      <c r="B85" s="34">
        <v>114400</v>
      </c>
      <c r="C85" s="34">
        <v>3703.79</v>
      </c>
      <c r="D85" s="34"/>
      <c r="E85" s="34"/>
      <c r="F85" s="34"/>
      <c r="G85" s="34"/>
      <c r="H85" s="34"/>
      <c r="I85" s="34"/>
      <c r="J85" s="34"/>
      <c r="K85" s="34">
        <f t="shared" si="9"/>
        <v>118103.79</v>
      </c>
    </row>
    <row r="86" spans="1:11" ht="13.8" customHeight="1" x14ac:dyDescent="0.25">
      <c r="A86" s="33" t="s">
        <v>39</v>
      </c>
      <c r="B86" s="35"/>
      <c r="C86" s="34"/>
      <c r="D86" s="34"/>
      <c r="E86" s="35"/>
      <c r="F86" s="35">
        <v>598</v>
      </c>
      <c r="G86" s="35"/>
      <c r="H86" s="35">
        <v>42300</v>
      </c>
      <c r="I86" s="35"/>
      <c r="J86" s="35"/>
      <c r="K86" s="34">
        <f t="shared" si="9"/>
        <v>42898</v>
      </c>
    </row>
    <row r="87" spans="1:11" ht="13.8" customHeight="1" x14ac:dyDescent="0.25">
      <c r="A87" s="33" t="s">
        <v>120</v>
      </c>
      <c r="B87" s="35"/>
      <c r="C87" s="34"/>
      <c r="D87" s="34"/>
      <c r="E87" s="35"/>
      <c r="F87" s="35"/>
      <c r="G87" s="35"/>
      <c r="H87" s="35"/>
      <c r="I87" s="35">
        <v>13930.44</v>
      </c>
      <c r="J87" s="35"/>
      <c r="K87" s="34">
        <f t="shared" si="9"/>
        <v>13930.44</v>
      </c>
    </row>
    <row r="88" spans="1:11" ht="13.8" customHeight="1" x14ac:dyDescent="0.25">
      <c r="A88" s="33" t="s">
        <v>5</v>
      </c>
      <c r="B88" s="35"/>
      <c r="C88" s="34"/>
      <c r="D88" s="34"/>
      <c r="E88" s="35">
        <v>36.9</v>
      </c>
      <c r="F88" s="35"/>
      <c r="G88" s="35"/>
      <c r="H88" s="35"/>
      <c r="I88" s="35"/>
      <c r="J88" s="35"/>
      <c r="K88" s="34">
        <f t="shared" si="9"/>
        <v>36.9</v>
      </c>
    </row>
    <row r="89" spans="1:11" ht="13.8" customHeight="1" x14ac:dyDescent="0.25">
      <c r="A89" s="33" t="s">
        <v>21</v>
      </c>
      <c r="B89" s="35"/>
      <c r="C89" s="34"/>
      <c r="D89" s="34"/>
      <c r="E89" s="35"/>
      <c r="F89" s="35"/>
      <c r="G89" s="35"/>
      <c r="H89" s="35"/>
      <c r="J89" s="35">
        <v>40020</v>
      </c>
      <c r="K89" s="34">
        <f t="shared" si="9"/>
        <v>40020</v>
      </c>
    </row>
    <row r="90" spans="1:11" ht="13.8" customHeight="1" x14ac:dyDescent="0.25">
      <c r="A90" s="33" t="s">
        <v>8</v>
      </c>
      <c r="B90" s="35"/>
      <c r="C90" s="35"/>
      <c r="D90" s="35"/>
      <c r="E90" s="35"/>
      <c r="F90" s="35"/>
      <c r="G90" s="35"/>
      <c r="H90" s="35"/>
      <c r="I90" s="35">
        <v>7081</v>
      </c>
      <c r="J90" s="35"/>
      <c r="K90" s="34">
        <f t="shared" si="9"/>
        <v>7081</v>
      </c>
    </row>
    <row r="91" spans="1:11" ht="13.8" customHeight="1" x14ac:dyDescent="0.25">
      <c r="A91" s="33" t="s">
        <v>4</v>
      </c>
      <c r="B91" s="35"/>
      <c r="C91" s="34"/>
      <c r="D91" s="34"/>
      <c r="E91" s="35"/>
      <c r="F91" s="35"/>
      <c r="G91" s="35"/>
      <c r="H91" s="35"/>
      <c r="I91" s="35"/>
      <c r="J91" s="35"/>
      <c r="K91" s="34">
        <f t="shared" si="9"/>
        <v>0</v>
      </c>
    </row>
    <row r="92" spans="1:11" ht="13.8" customHeight="1" x14ac:dyDescent="0.25">
      <c r="A92" s="33" t="s">
        <v>2</v>
      </c>
      <c r="B92" s="35"/>
      <c r="C92" s="34"/>
      <c r="D92" s="34">
        <v>60.04</v>
      </c>
      <c r="E92" s="35"/>
      <c r="F92" s="35"/>
      <c r="G92" s="35">
        <v>1290</v>
      </c>
      <c r="H92" s="35"/>
      <c r="I92" s="35"/>
      <c r="J92" s="35">
        <v>50.03</v>
      </c>
      <c r="K92" s="34">
        <f t="shared" si="9"/>
        <v>1400.07</v>
      </c>
    </row>
    <row r="93" spans="1:11" ht="13.8" customHeight="1" x14ac:dyDescent="0.25">
      <c r="A93" s="33" t="s">
        <v>23</v>
      </c>
      <c r="B93" s="34"/>
      <c r="C93" s="35"/>
      <c r="D93" s="35"/>
      <c r="E93" s="34"/>
      <c r="F93" s="34"/>
      <c r="G93" s="34"/>
      <c r="H93" s="34"/>
      <c r="I93" s="34"/>
      <c r="J93" s="34">
        <v>35800</v>
      </c>
      <c r="K93" s="34">
        <f t="shared" si="9"/>
        <v>35800</v>
      </c>
    </row>
    <row r="94" spans="1:11" ht="13.8" customHeight="1" x14ac:dyDescent="0.25">
      <c r="A94" s="33" t="s">
        <v>6</v>
      </c>
      <c r="B94" s="34"/>
      <c r="C94" s="34"/>
      <c r="D94" s="34"/>
      <c r="E94" s="34"/>
      <c r="F94" s="34"/>
      <c r="G94" s="34"/>
      <c r="H94" s="34"/>
      <c r="I94" s="34"/>
      <c r="J94" s="34"/>
      <c r="K94" s="34">
        <f t="shared" si="9"/>
        <v>0</v>
      </c>
    </row>
    <row r="95" spans="1:11" ht="13.8" customHeight="1" x14ac:dyDescent="0.25">
      <c r="A95" s="258" t="s">
        <v>7</v>
      </c>
      <c r="B95" s="259">
        <f t="shared" ref="B95:J95" si="10">SUM(B83:B94)</f>
        <v>114400</v>
      </c>
      <c r="C95" s="259">
        <f t="shared" si="10"/>
        <v>3703.79</v>
      </c>
      <c r="D95" s="259">
        <f t="shared" si="10"/>
        <v>60.04</v>
      </c>
      <c r="E95" s="259">
        <f t="shared" si="10"/>
        <v>36.9</v>
      </c>
      <c r="F95" s="259">
        <f t="shared" si="10"/>
        <v>598</v>
      </c>
      <c r="G95" s="259">
        <f t="shared" si="10"/>
        <v>1290</v>
      </c>
      <c r="H95" s="259">
        <f t="shared" ref="H95:I95" si="11">SUM(H83:H94)</f>
        <v>42300</v>
      </c>
      <c r="I95" s="259">
        <f t="shared" si="11"/>
        <v>21011.440000000002</v>
      </c>
      <c r="J95" s="259">
        <f t="shared" si="10"/>
        <v>135080.03</v>
      </c>
      <c r="K95" s="260">
        <f>SUM(K83:K94)</f>
        <v>318480.2</v>
      </c>
    </row>
    <row r="96" spans="1:11" s="38" customFormat="1" ht="13.8" customHeight="1" thickBot="1" x14ac:dyDescent="0.35">
      <c r="A96" s="258"/>
      <c r="B96" s="259"/>
      <c r="C96" s="259"/>
      <c r="D96" s="259"/>
      <c r="E96" s="259"/>
      <c r="F96" s="259"/>
      <c r="G96" s="259"/>
      <c r="H96" s="259"/>
      <c r="I96" s="259"/>
      <c r="J96" s="259"/>
      <c r="K96" s="260"/>
    </row>
    <row r="97" spans="1:11" ht="13.8" customHeight="1" thickBot="1" x14ac:dyDescent="0.3">
      <c r="A97" s="26" t="s">
        <v>0</v>
      </c>
      <c r="B97" s="27"/>
      <c r="C97" s="27"/>
      <c r="D97" s="27"/>
      <c r="E97" s="27"/>
      <c r="F97" s="27"/>
      <c r="G97" s="27"/>
      <c r="H97" s="27"/>
      <c r="I97" s="27"/>
      <c r="J97" s="27"/>
      <c r="K97" s="28" t="s">
        <v>1</v>
      </c>
    </row>
    <row r="98" spans="1:11" ht="13.8" customHeight="1" x14ac:dyDescent="0.25">
      <c r="A98" s="33" t="s">
        <v>22</v>
      </c>
      <c r="B98" s="32"/>
      <c r="C98" s="30"/>
      <c r="D98" s="30"/>
      <c r="E98" s="30"/>
      <c r="F98" s="30"/>
      <c r="G98" s="30"/>
      <c r="H98" s="30"/>
      <c r="I98" s="30"/>
      <c r="J98" s="30"/>
      <c r="K98" s="32">
        <f t="shared" ref="K98:K108" si="12">SUM(B98:J98)</f>
        <v>0</v>
      </c>
    </row>
    <row r="99" spans="1:11" ht="13.8" customHeight="1" x14ac:dyDescent="0.25">
      <c r="A99" s="33" t="s">
        <v>24</v>
      </c>
      <c r="B99" s="34"/>
      <c r="C99" s="35"/>
      <c r="D99" s="34"/>
      <c r="E99" s="35"/>
      <c r="F99" s="35"/>
      <c r="G99" s="35"/>
      <c r="H99" s="35"/>
      <c r="I99" s="35"/>
      <c r="J99" s="35"/>
      <c r="K99" s="34">
        <f t="shared" si="12"/>
        <v>0</v>
      </c>
    </row>
    <row r="100" spans="1:11" ht="13.8" customHeight="1" x14ac:dyDescent="0.25">
      <c r="A100" s="33" t="s">
        <v>3</v>
      </c>
      <c r="B100" s="34"/>
      <c r="C100" s="34"/>
      <c r="D100" s="34"/>
      <c r="E100" s="34"/>
      <c r="F100" s="34"/>
      <c r="G100" s="34"/>
      <c r="H100" s="34"/>
      <c r="I100" s="34"/>
      <c r="J100" s="34"/>
      <c r="K100" s="34">
        <f t="shared" si="12"/>
        <v>0</v>
      </c>
    </row>
    <row r="101" spans="1:11" ht="13.8" customHeight="1" x14ac:dyDescent="0.25">
      <c r="A101" s="33" t="s">
        <v>39</v>
      </c>
      <c r="B101" s="35"/>
      <c r="C101" s="34"/>
      <c r="D101" s="34"/>
      <c r="E101" s="35"/>
      <c r="F101" s="34"/>
      <c r="G101" s="34"/>
      <c r="H101" s="34"/>
      <c r="I101" s="34"/>
      <c r="J101" s="34"/>
      <c r="K101" s="34">
        <f t="shared" si="12"/>
        <v>0</v>
      </c>
    </row>
    <row r="102" spans="1:11" ht="13.8" customHeight="1" x14ac:dyDescent="0.25">
      <c r="A102" s="33" t="s">
        <v>5</v>
      </c>
      <c r="B102" s="35"/>
      <c r="C102" s="34"/>
      <c r="D102" s="34"/>
      <c r="E102" s="35"/>
      <c r="F102" s="35"/>
      <c r="G102" s="35"/>
      <c r="H102" s="35"/>
      <c r="I102" s="35"/>
      <c r="J102" s="35"/>
      <c r="K102" s="34">
        <f t="shared" si="12"/>
        <v>0</v>
      </c>
    </row>
    <row r="103" spans="1:11" ht="13.8" customHeight="1" x14ac:dyDescent="0.25">
      <c r="A103" s="33" t="s">
        <v>21</v>
      </c>
      <c r="B103" s="35"/>
      <c r="C103" s="34"/>
      <c r="D103" s="34"/>
      <c r="E103" s="35"/>
      <c r="F103" s="35"/>
      <c r="G103" s="35"/>
      <c r="H103" s="35"/>
      <c r="I103" s="35"/>
      <c r="J103" s="35"/>
      <c r="K103" s="34">
        <f t="shared" si="12"/>
        <v>0</v>
      </c>
    </row>
    <row r="104" spans="1:11" ht="13.8" customHeight="1" x14ac:dyDescent="0.25">
      <c r="A104" s="33" t="s">
        <v>8</v>
      </c>
      <c r="B104" s="35"/>
      <c r="C104" s="35"/>
      <c r="D104" s="35"/>
      <c r="E104" s="35"/>
      <c r="F104" s="35"/>
      <c r="G104" s="36"/>
      <c r="H104" s="36"/>
      <c r="I104" s="36"/>
      <c r="J104" s="35"/>
      <c r="K104" s="34">
        <f t="shared" si="12"/>
        <v>0</v>
      </c>
    </row>
    <row r="105" spans="1:11" ht="13.8" customHeight="1" x14ac:dyDescent="0.25">
      <c r="A105" s="33" t="s">
        <v>4</v>
      </c>
      <c r="B105" s="35"/>
      <c r="C105" s="34"/>
      <c r="D105" s="34"/>
      <c r="E105" s="35"/>
      <c r="F105" s="35"/>
      <c r="G105" s="35"/>
      <c r="H105" s="35"/>
      <c r="I105" s="35"/>
      <c r="J105" s="35"/>
      <c r="K105" s="34">
        <f t="shared" si="12"/>
        <v>0</v>
      </c>
    </row>
    <row r="106" spans="1:11" ht="13.8" customHeight="1" x14ac:dyDescent="0.25">
      <c r="A106" s="33" t="s">
        <v>2</v>
      </c>
      <c r="B106" s="35"/>
      <c r="C106" s="34"/>
      <c r="D106" s="34"/>
      <c r="E106" s="35"/>
      <c r="F106" s="35"/>
      <c r="G106" s="35"/>
      <c r="H106" s="35"/>
      <c r="I106" s="35"/>
      <c r="J106" s="35"/>
      <c r="K106" s="34">
        <f t="shared" si="12"/>
        <v>0</v>
      </c>
    </row>
    <row r="107" spans="1:11" ht="13.8" customHeight="1" x14ac:dyDescent="0.25">
      <c r="A107" s="33" t="s">
        <v>23</v>
      </c>
      <c r="B107" s="34"/>
      <c r="C107" s="35"/>
      <c r="D107" s="35"/>
      <c r="E107" s="34"/>
      <c r="F107" s="34"/>
      <c r="G107" s="34"/>
      <c r="H107" s="34"/>
      <c r="I107" s="34"/>
      <c r="J107" s="34"/>
      <c r="K107" s="34">
        <f t="shared" si="12"/>
        <v>0</v>
      </c>
    </row>
    <row r="108" spans="1:11" ht="13.8" customHeight="1" x14ac:dyDescent="0.25">
      <c r="A108" s="33" t="s">
        <v>6</v>
      </c>
      <c r="B108" s="34"/>
      <c r="C108" s="34"/>
      <c r="D108" s="34"/>
      <c r="E108" s="34"/>
      <c r="F108" s="34"/>
      <c r="G108" s="34"/>
      <c r="H108" s="34"/>
      <c r="I108" s="34"/>
      <c r="J108" s="34"/>
      <c r="K108" s="34">
        <f t="shared" si="12"/>
        <v>0</v>
      </c>
    </row>
    <row r="109" spans="1:11" ht="13.8" customHeight="1" x14ac:dyDescent="0.25">
      <c r="A109" s="258" t="s">
        <v>7</v>
      </c>
      <c r="B109" s="259">
        <f t="shared" ref="B109:K109" si="13">SUM(B98:B108)</f>
        <v>0</v>
      </c>
      <c r="C109" s="259">
        <f t="shared" si="13"/>
        <v>0</v>
      </c>
      <c r="D109" s="259">
        <f t="shared" si="13"/>
        <v>0</v>
      </c>
      <c r="E109" s="259">
        <f t="shared" si="13"/>
        <v>0</v>
      </c>
      <c r="F109" s="259">
        <f t="shared" si="13"/>
        <v>0</v>
      </c>
      <c r="G109" s="259">
        <f t="shared" si="13"/>
        <v>0</v>
      </c>
      <c r="H109" s="34"/>
      <c r="I109" s="34"/>
      <c r="J109" s="259">
        <f t="shared" si="13"/>
        <v>0</v>
      </c>
      <c r="K109" s="260">
        <f t="shared" si="13"/>
        <v>0</v>
      </c>
    </row>
    <row r="110" spans="1:11" ht="13.8" customHeight="1" x14ac:dyDescent="0.25">
      <c r="A110" s="258"/>
      <c r="B110" s="259"/>
      <c r="C110" s="259"/>
      <c r="D110" s="259"/>
      <c r="E110" s="259"/>
      <c r="F110" s="259"/>
      <c r="G110" s="259"/>
      <c r="H110" s="34"/>
      <c r="I110" s="34"/>
      <c r="J110" s="259"/>
      <c r="K110" s="260"/>
    </row>
    <row r="111" spans="1:11" s="38" customFormat="1" ht="13.8" customHeight="1" thickBot="1" x14ac:dyDescent="0.35">
      <c r="A111" s="262" t="s">
        <v>126</v>
      </c>
      <c r="B111" s="262"/>
      <c r="C111" s="262"/>
      <c r="D111" s="262"/>
      <c r="E111" s="262"/>
      <c r="F111" s="262"/>
      <c r="G111" s="262"/>
      <c r="H111" s="262"/>
      <c r="I111" s="262"/>
      <c r="J111" s="262"/>
      <c r="K111" s="262"/>
    </row>
    <row r="112" spans="1:11" ht="13.8" customHeight="1" thickBot="1" x14ac:dyDescent="0.3">
      <c r="A112" s="42" t="s">
        <v>0</v>
      </c>
      <c r="B112" s="43"/>
      <c r="C112" s="43"/>
      <c r="D112" s="43"/>
      <c r="E112" s="43"/>
      <c r="F112" s="43"/>
      <c r="G112" s="43"/>
      <c r="H112" s="43"/>
      <c r="I112" s="43"/>
      <c r="J112" s="43"/>
      <c r="K112" s="28" t="s">
        <v>1</v>
      </c>
    </row>
    <row r="113" spans="1:15" ht="13.8" customHeight="1" x14ac:dyDescent="0.25">
      <c r="A113" s="33" t="s">
        <v>22</v>
      </c>
      <c r="B113" s="32"/>
      <c r="C113" s="30"/>
      <c r="D113" s="30"/>
      <c r="E113" s="30"/>
      <c r="F113" s="30"/>
      <c r="G113" s="30"/>
      <c r="H113" s="30"/>
      <c r="I113" s="30"/>
      <c r="J113" s="30"/>
      <c r="K113" s="32">
        <f t="shared" ref="K113:K123" si="14">SUM(B113:J113)</f>
        <v>0</v>
      </c>
    </row>
    <row r="114" spans="1:15" ht="13.8" customHeight="1" x14ac:dyDescent="0.25">
      <c r="A114" s="33" t="s">
        <v>24</v>
      </c>
      <c r="B114" s="34"/>
      <c r="C114" s="35"/>
      <c r="D114" s="34"/>
      <c r="E114" s="35"/>
      <c r="F114" s="35"/>
      <c r="G114" s="35"/>
      <c r="H114" s="35"/>
      <c r="I114" s="35"/>
      <c r="J114" s="35"/>
      <c r="K114" s="34">
        <f t="shared" si="14"/>
        <v>0</v>
      </c>
    </row>
    <row r="115" spans="1:15" ht="13.8" customHeight="1" x14ac:dyDescent="0.25">
      <c r="A115" s="33" t="s">
        <v>3</v>
      </c>
      <c r="B115" s="34"/>
      <c r="C115" s="34"/>
      <c r="D115" s="34"/>
      <c r="E115" s="34"/>
      <c r="F115" s="34"/>
      <c r="G115" s="34"/>
      <c r="H115" s="34"/>
      <c r="I115" s="34"/>
      <c r="J115" s="34"/>
      <c r="K115" s="34">
        <f t="shared" si="14"/>
        <v>0</v>
      </c>
    </row>
    <row r="116" spans="1:15" ht="13.8" customHeight="1" x14ac:dyDescent="0.25">
      <c r="A116" s="33" t="s">
        <v>39</v>
      </c>
      <c r="B116" s="35"/>
      <c r="C116" s="34"/>
      <c r="D116" s="34"/>
      <c r="E116" s="35"/>
      <c r="F116" s="35"/>
      <c r="G116" s="35"/>
      <c r="H116" s="35"/>
      <c r="I116" s="35"/>
      <c r="J116" s="34"/>
      <c r="K116" s="34">
        <f t="shared" si="14"/>
        <v>0</v>
      </c>
    </row>
    <row r="117" spans="1:15" ht="13.8" customHeight="1" x14ac:dyDescent="0.25">
      <c r="A117" s="33" t="s">
        <v>5</v>
      </c>
      <c r="B117" s="35"/>
      <c r="C117" s="34"/>
      <c r="D117" s="34"/>
      <c r="E117" s="35"/>
      <c r="F117" s="35"/>
      <c r="G117" s="35"/>
      <c r="H117" s="35"/>
      <c r="I117" s="35"/>
      <c r="J117" s="35"/>
      <c r="K117" s="34">
        <f t="shared" si="14"/>
        <v>0</v>
      </c>
    </row>
    <row r="118" spans="1:15" ht="13.8" customHeight="1" x14ac:dyDescent="0.25">
      <c r="A118" s="33" t="s">
        <v>21</v>
      </c>
      <c r="B118" s="35"/>
      <c r="C118" s="35"/>
      <c r="D118" s="35"/>
      <c r="E118" s="35"/>
      <c r="F118" s="35"/>
      <c r="G118" s="36"/>
      <c r="H118" s="36"/>
      <c r="I118" s="36"/>
      <c r="J118" s="35"/>
      <c r="K118" s="34">
        <f t="shared" si="14"/>
        <v>0</v>
      </c>
    </row>
    <row r="119" spans="1:15" ht="13.8" customHeight="1" x14ac:dyDescent="0.25">
      <c r="A119" s="33" t="s">
        <v>8</v>
      </c>
      <c r="B119" s="35"/>
      <c r="C119" s="34"/>
      <c r="D119" s="34"/>
      <c r="E119" s="35"/>
      <c r="F119" s="35"/>
      <c r="G119" s="35"/>
      <c r="H119" s="35"/>
      <c r="I119" s="35"/>
      <c r="J119" s="35"/>
      <c r="K119" s="34">
        <f t="shared" si="14"/>
        <v>0</v>
      </c>
    </row>
    <row r="120" spans="1:15" ht="13.8" customHeight="1" x14ac:dyDescent="0.25">
      <c r="A120" s="33" t="s">
        <v>4</v>
      </c>
      <c r="B120" s="35"/>
      <c r="C120" s="34"/>
      <c r="D120" s="34"/>
      <c r="E120" s="35"/>
      <c r="F120" s="35"/>
      <c r="G120" s="35"/>
      <c r="H120" s="35"/>
      <c r="I120" s="35"/>
      <c r="J120" s="35"/>
      <c r="K120" s="34">
        <f t="shared" si="14"/>
        <v>0</v>
      </c>
    </row>
    <row r="121" spans="1:15" ht="13.8" customHeight="1" x14ac:dyDescent="0.25">
      <c r="A121" s="33" t="s">
        <v>2</v>
      </c>
      <c r="B121" s="34"/>
      <c r="C121" s="35"/>
      <c r="D121" s="35"/>
      <c r="E121" s="34"/>
      <c r="F121" s="34"/>
      <c r="G121" s="34"/>
      <c r="H121" s="34"/>
      <c r="I121" s="34"/>
      <c r="J121" s="35"/>
      <c r="K121" s="34">
        <f t="shared" si="14"/>
        <v>0</v>
      </c>
    </row>
    <row r="122" spans="1:15" ht="13.8" customHeight="1" x14ac:dyDescent="0.25">
      <c r="A122" s="33" t="s">
        <v>23</v>
      </c>
      <c r="B122" s="34"/>
      <c r="C122" s="34"/>
      <c r="D122" s="34"/>
      <c r="E122" s="34"/>
      <c r="F122" s="34"/>
      <c r="G122" s="34"/>
      <c r="H122" s="34"/>
      <c r="I122" s="34"/>
      <c r="J122" s="34"/>
      <c r="K122" s="34">
        <f t="shared" si="14"/>
        <v>0</v>
      </c>
    </row>
    <row r="123" spans="1:15" ht="13.8" customHeight="1" x14ac:dyDescent="0.25">
      <c r="A123" s="33" t="s">
        <v>6</v>
      </c>
      <c r="B123" s="34"/>
      <c r="C123" s="34"/>
      <c r="D123" s="34"/>
      <c r="E123" s="34"/>
      <c r="F123" s="34"/>
      <c r="G123" s="34"/>
      <c r="H123" s="34"/>
      <c r="I123" s="34"/>
      <c r="J123" s="34"/>
      <c r="K123" s="34">
        <f t="shared" si="14"/>
        <v>0</v>
      </c>
    </row>
    <row r="124" spans="1:15" ht="13.8" customHeight="1" x14ac:dyDescent="0.25">
      <c r="A124" s="258" t="s">
        <v>7</v>
      </c>
      <c r="B124" s="259">
        <f t="shared" ref="B124:J124" si="15">SUM(B113:B123)</f>
        <v>0</v>
      </c>
      <c r="C124" s="259">
        <f t="shared" si="15"/>
        <v>0</v>
      </c>
      <c r="D124" s="259">
        <f t="shared" si="15"/>
        <v>0</v>
      </c>
      <c r="E124" s="259">
        <f t="shared" si="15"/>
        <v>0</v>
      </c>
      <c r="F124" s="259">
        <f t="shared" si="15"/>
        <v>0</v>
      </c>
      <c r="G124" s="259">
        <f t="shared" si="15"/>
        <v>0</v>
      </c>
      <c r="H124" s="34"/>
      <c r="I124" s="34"/>
      <c r="J124" s="259">
        <f t="shared" si="15"/>
        <v>0</v>
      </c>
      <c r="K124" s="260">
        <f>SUM(K113:K123)</f>
        <v>0</v>
      </c>
    </row>
    <row r="125" spans="1:15" ht="13.8" customHeight="1" x14ac:dyDescent="0.25">
      <c r="A125" s="258"/>
      <c r="B125" s="259"/>
      <c r="C125" s="259"/>
      <c r="D125" s="259"/>
      <c r="E125" s="259"/>
      <c r="F125" s="259"/>
      <c r="G125" s="259"/>
      <c r="H125" s="34"/>
      <c r="I125" s="34"/>
      <c r="J125" s="259"/>
      <c r="K125" s="260"/>
    </row>
    <row r="126" spans="1:15" s="38" customFormat="1" ht="13.8" customHeight="1" thickBot="1" x14ac:dyDescent="0.35">
      <c r="A126" s="262" t="s">
        <v>127</v>
      </c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</row>
    <row r="127" spans="1:15" ht="13.8" customHeight="1" thickBot="1" x14ac:dyDescent="0.3">
      <c r="A127" s="26" t="s">
        <v>0</v>
      </c>
      <c r="B127" s="27"/>
      <c r="C127" s="27"/>
      <c r="D127" s="27"/>
      <c r="E127" s="27"/>
      <c r="F127" s="27"/>
      <c r="G127" s="27"/>
      <c r="H127" s="27"/>
      <c r="I127" s="27"/>
      <c r="J127" s="27"/>
      <c r="K127" s="28" t="s">
        <v>1</v>
      </c>
    </row>
    <row r="128" spans="1:15" ht="13.8" customHeight="1" x14ac:dyDescent="0.25">
      <c r="A128" s="33" t="s">
        <v>22</v>
      </c>
      <c r="B128" s="32"/>
      <c r="C128" s="30"/>
      <c r="D128" s="30"/>
      <c r="E128" s="30"/>
      <c r="F128" s="30"/>
      <c r="G128" s="30"/>
      <c r="H128" s="30"/>
      <c r="I128" s="30"/>
      <c r="J128" s="30"/>
      <c r="K128" s="32">
        <f t="shared" ref="K128:K138" si="16">SUM(B128:J128)</f>
        <v>0</v>
      </c>
      <c r="L128" s="268"/>
      <c r="M128" s="269"/>
      <c r="N128" s="269"/>
      <c r="O128" s="269"/>
    </row>
    <row r="129" spans="1:15" ht="13.8" customHeight="1" x14ac:dyDescent="0.25">
      <c r="A129" s="33" t="s">
        <v>24</v>
      </c>
      <c r="B129" s="34"/>
      <c r="C129" s="35"/>
      <c r="D129" s="34"/>
      <c r="E129" s="35"/>
      <c r="F129" s="35"/>
      <c r="G129" s="35"/>
      <c r="H129" s="35"/>
      <c r="I129" s="35"/>
      <c r="J129" s="35"/>
      <c r="K129" s="34">
        <f t="shared" si="16"/>
        <v>0</v>
      </c>
    </row>
    <row r="130" spans="1:15" ht="13.8" customHeight="1" x14ac:dyDescent="0.25">
      <c r="A130" s="33" t="s">
        <v>3</v>
      </c>
      <c r="B130" s="34"/>
      <c r="C130" s="34"/>
      <c r="D130" s="34"/>
      <c r="E130" s="34"/>
      <c r="F130" s="34"/>
      <c r="G130" s="34"/>
      <c r="H130" s="34"/>
      <c r="I130" s="34"/>
      <c r="J130" s="34"/>
      <c r="K130" s="34">
        <f t="shared" si="16"/>
        <v>0</v>
      </c>
    </row>
    <row r="131" spans="1:15" ht="13.8" customHeight="1" x14ac:dyDescent="0.25">
      <c r="A131" s="33" t="s">
        <v>39</v>
      </c>
      <c r="B131" s="35"/>
      <c r="C131" s="34"/>
      <c r="D131" s="34"/>
      <c r="E131" s="35"/>
      <c r="F131" s="35"/>
      <c r="G131" s="34"/>
      <c r="H131" s="34"/>
      <c r="I131" s="34"/>
      <c r="J131" s="35"/>
      <c r="K131" s="34">
        <f t="shared" si="16"/>
        <v>0</v>
      </c>
    </row>
    <row r="132" spans="1:15" ht="13.8" customHeight="1" x14ac:dyDescent="0.25">
      <c r="A132" s="33" t="s">
        <v>5</v>
      </c>
      <c r="B132" s="35"/>
      <c r="C132" s="34"/>
      <c r="D132" s="34"/>
      <c r="E132" s="35"/>
      <c r="F132" s="35"/>
      <c r="G132" s="35"/>
      <c r="H132" s="35"/>
      <c r="I132" s="35"/>
      <c r="J132" s="35"/>
      <c r="K132" s="34">
        <f t="shared" si="16"/>
        <v>0</v>
      </c>
    </row>
    <row r="133" spans="1:15" ht="13.8" customHeight="1" x14ac:dyDescent="0.25">
      <c r="A133" s="33" t="s">
        <v>21</v>
      </c>
      <c r="B133" s="35"/>
      <c r="C133" s="34"/>
      <c r="D133" s="34"/>
      <c r="E133" s="35"/>
      <c r="F133" s="35"/>
      <c r="G133" s="35"/>
      <c r="H133" s="35"/>
      <c r="I133" s="35"/>
      <c r="J133" s="35"/>
      <c r="K133" s="34">
        <f t="shared" si="16"/>
        <v>0</v>
      </c>
    </row>
    <row r="134" spans="1:15" ht="13.8" customHeight="1" x14ac:dyDescent="0.25">
      <c r="A134" s="33" t="s">
        <v>8</v>
      </c>
      <c r="B134" s="35"/>
      <c r="C134" s="35"/>
      <c r="D134" s="35"/>
      <c r="E134" s="35"/>
      <c r="F134" s="35"/>
      <c r="G134" s="35"/>
      <c r="H134" s="35"/>
      <c r="I134" s="35"/>
      <c r="J134" s="35"/>
      <c r="K134" s="34">
        <f t="shared" si="16"/>
        <v>0</v>
      </c>
    </row>
    <row r="135" spans="1:15" ht="13.8" customHeight="1" x14ac:dyDescent="0.25">
      <c r="A135" s="33" t="s">
        <v>4</v>
      </c>
      <c r="B135" s="35"/>
      <c r="C135" s="34"/>
      <c r="D135" s="34"/>
      <c r="E135" s="35"/>
      <c r="F135" s="35"/>
      <c r="G135" s="35"/>
      <c r="H135" s="35"/>
      <c r="I135" s="35"/>
      <c r="J135" s="35"/>
      <c r="K135" s="34">
        <f t="shared" si="16"/>
        <v>0</v>
      </c>
    </row>
    <row r="136" spans="1:15" ht="13.8" customHeight="1" x14ac:dyDescent="0.25">
      <c r="A136" s="33" t="s">
        <v>2</v>
      </c>
      <c r="B136" s="35"/>
      <c r="C136" s="34"/>
      <c r="D136" s="34"/>
      <c r="E136" s="34"/>
      <c r="F136" s="35"/>
      <c r="G136" s="35"/>
      <c r="H136" s="35"/>
      <c r="I136" s="35"/>
      <c r="J136" s="35"/>
      <c r="K136" s="34">
        <f t="shared" si="16"/>
        <v>0</v>
      </c>
    </row>
    <row r="137" spans="1:15" ht="13.8" customHeight="1" x14ac:dyDescent="0.25">
      <c r="A137" s="33" t="s">
        <v>23</v>
      </c>
      <c r="B137" s="34"/>
      <c r="C137" s="35"/>
      <c r="D137" s="35"/>
      <c r="E137" s="34"/>
      <c r="F137" s="34"/>
      <c r="G137" s="34"/>
      <c r="H137" s="34"/>
      <c r="I137" s="34"/>
      <c r="J137" s="34"/>
      <c r="K137" s="34">
        <f t="shared" si="16"/>
        <v>0</v>
      </c>
    </row>
    <row r="138" spans="1:15" ht="13.8" customHeight="1" x14ac:dyDescent="0.25">
      <c r="A138" s="33" t="s">
        <v>6</v>
      </c>
      <c r="B138" s="34"/>
      <c r="C138" s="34"/>
      <c r="D138" s="34"/>
      <c r="E138" s="34"/>
      <c r="F138" s="34"/>
      <c r="G138" s="34"/>
      <c r="H138" s="34"/>
      <c r="I138" s="34"/>
      <c r="J138" s="34"/>
      <c r="K138" s="34">
        <f t="shared" si="16"/>
        <v>0</v>
      </c>
    </row>
    <row r="139" spans="1:15" ht="13.8" customHeight="1" x14ac:dyDescent="0.25">
      <c r="A139" s="258" t="s">
        <v>7</v>
      </c>
      <c r="B139" s="259">
        <f t="shared" ref="B139:K139" si="17">SUM(B128:B138)</f>
        <v>0</v>
      </c>
      <c r="C139" s="259">
        <f t="shared" si="17"/>
        <v>0</v>
      </c>
      <c r="D139" s="259">
        <f t="shared" si="17"/>
        <v>0</v>
      </c>
      <c r="E139" s="259">
        <f t="shared" si="17"/>
        <v>0</v>
      </c>
      <c r="F139" s="259">
        <f t="shared" si="17"/>
        <v>0</v>
      </c>
      <c r="G139" s="259">
        <f t="shared" si="17"/>
        <v>0</v>
      </c>
      <c r="H139" s="34"/>
      <c r="I139" s="34"/>
      <c r="J139" s="259">
        <f t="shared" si="17"/>
        <v>0</v>
      </c>
      <c r="K139" s="283">
        <f t="shared" si="17"/>
        <v>0</v>
      </c>
      <c r="L139" s="271"/>
      <c r="M139" s="272"/>
      <c r="N139" s="272"/>
      <c r="O139" s="272"/>
    </row>
    <row r="140" spans="1:15" ht="13.8" customHeight="1" x14ac:dyDescent="0.25">
      <c r="A140" s="258"/>
      <c r="B140" s="259"/>
      <c r="C140" s="259"/>
      <c r="D140" s="259"/>
      <c r="E140" s="259"/>
      <c r="F140" s="259"/>
      <c r="G140" s="259"/>
      <c r="H140" s="34"/>
      <c r="I140" s="34"/>
      <c r="J140" s="259"/>
      <c r="K140" s="283"/>
      <c r="L140" s="271"/>
      <c r="M140" s="272"/>
      <c r="N140" s="272"/>
      <c r="O140" s="272"/>
    </row>
    <row r="141" spans="1:15" s="38" customFormat="1" ht="13.8" customHeight="1" thickBot="1" x14ac:dyDescent="0.35">
      <c r="A141" s="262" t="s">
        <v>128</v>
      </c>
      <c r="B141" s="262"/>
      <c r="C141" s="262"/>
      <c r="D141" s="262"/>
      <c r="E141" s="262"/>
      <c r="F141" s="262"/>
      <c r="G141" s="262"/>
      <c r="H141" s="262"/>
      <c r="I141" s="262"/>
      <c r="J141" s="262"/>
      <c r="K141" s="262"/>
    </row>
    <row r="142" spans="1:15" ht="13.8" customHeight="1" thickBot="1" x14ac:dyDescent="0.3">
      <c r="A142" s="26" t="s">
        <v>0</v>
      </c>
      <c r="B142" s="27"/>
      <c r="C142" s="27"/>
      <c r="D142" s="27"/>
      <c r="E142" s="27"/>
      <c r="F142" s="27"/>
      <c r="G142" s="27"/>
      <c r="H142" s="27"/>
      <c r="I142" s="27"/>
      <c r="J142" s="27"/>
      <c r="K142" s="28" t="s">
        <v>1</v>
      </c>
    </row>
    <row r="143" spans="1:15" ht="13.8" customHeight="1" x14ac:dyDescent="0.25">
      <c r="A143" s="33" t="s">
        <v>22</v>
      </c>
      <c r="B143" s="32"/>
      <c r="C143" s="30"/>
      <c r="D143" s="30"/>
      <c r="E143" s="30"/>
      <c r="F143" s="30"/>
      <c r="G143" s="30"/>
      <c r="H143" s="30"/>
      <c r="I143" s="30"/>
      <c r="J143" s="30"/>
      <c r="K143" s="32">
        <f t="shared" ref="K143:K152" si="18">SUM(B143:J143)</f>
        <v>0</v>
      </c>
    </row>
    <row r="144" spans="1:15" ht="13.8" customHeight="1" x14ac:dyDescent="0.25">
      <c r="A144" s="33" t="s">
        <v>24</v>
      </c>
      <c r="B144" s="34"/>
      <c r="C144" s="35"/>
      <c r="D144" s="34"/>
      <c r="E144" s="35"/>
      <c r="F144" s="35"/>
      <c r="G144" s="35"/>
      <c r="H144" s="35"/>
      <c r="I144" s="35"/>
      <c r="J144" s="35"/>
      <c r="K144" s="34">
        <f t="shared" si="18"/>
        <v>0</v>
      </c>
    </row>
    <row r="145" spans="1:13" ht="13.8" customHeight="1" x14ac:dyDescent="0.25">
      <c r="A145" s="33" t="s">
        <v>3</v>
      </c>
      <c r="B145" s="34"/>
      <c r="C145" s="34"/>
      <c r="D145" s="34"/>
      <c r="E145" s="34"/>
      <c r="F145" s="34"/>
      <c r="G145" s="34"/>
      <c r="H145" s="34"/>
      <c r="I145" s="34"/>
      <c r="J145" s="34"/>
      <c r="K145" s="34">
        <f t="shared" si="18"/>
        <v>0</v>
      </c>
    </row>
    <row r="146" spans="1:13" ht="13.8" customHeight="1" x14ac:dyDescent="0.25">
      <c r="A146" s="33" t="s">
        <v>39</v>
      </c>
      <c r="B146" s="35"/>
      <c r="C146" s="34"/>
      <c r="D146" s="34"/>
      <c r="E146" s="35"/>
      <c r="F146" s="35"/>
      <c r="G146" s="35"/>
      <c r="H146" s="35"/>
      <c r="I146" s="35"/>
      <c r="J146" s="34"/>
      <c r="K146" s="34">
        <f t="shared" si="18"/>
        <v>0</v>
      </c>
    </row>
    <row r="147" spans="1:13" ht="13.8" customHeight="1" x14ac:dyDescent="0.25">
      <c r="A147" s="33" t="s">
        <v>5</v>
      </c>
      <c r="B147" s="35"/>
      <c r="C147" s="34"/>
      <c r="D147" s="34"/>
      <c r="E147" s="35"/>
      <c r="F147" s="35"/>
      <c r="G147" s="35"/>
      <c r="H147" s="35"/>
      <c r="I147" s="35"/>
      <c r="J147" s="35"/>
      <c r="K147" s="34">
        <f t="shared" si="18"/>
        <v>0</v>
      </c>
    </row>
    <row r="148" spans="1:13" ht="13.8" customHeight="1" x14ac:dyDescent="0.25">
      <c r="A148" s="33" t="s">
        <v>21</v>
      </c>
      <c r="B148" s="35"/>
      <c r="C148" s="35"/>
      <c r="D148" s="35"/>
      <c r="E148" s="35"/>
      <c r="F148" s="35"/>
      <c r="G148" s="36"/>
      <c r="H148" s="36"/>
      <c r="I148" s="36"/>
      <c r="J148" s="35"/>
      <c r="K148" s="34">
        <f t="shared" si="18"/>
        <v>0</v>
      </c>
    </row>
    <row r="149" spans="1:13" ht="13.8" customHeight="1" x14ac:dyDescent="0.25">
      <c r="A149" s="33" t="s">
        <v>8</v>
      </c>
      <c r="B149" s="35"/>
      <c r="C149" s="34"/>
      <c r="D149" s="34"/>
      <c r="E149" s="35"/>
      <c r="F149" s="35"/>
      <c r="G149" s="35"/>
      <c r="H149" s="35"/>
      <c r="I149" s="35"/>
      <c r="J149" s="35"/>
      <c r="K149" s="34">
        <f t="shared" si="18"/>
        <v>0</v>
      </c>
    </row>
    <row r="150" spans="1:13" ht="13.8" customHeight="1" x14ac:dyDescent="0.25">
      <c r="A150" s="33" t="s">
        <v>4</v>
      </c>
      <c r="B150" s="35"/>
      <c r="C150" s="34"/>
      <c r="D150" s="34"/>
      <c r="E150" s="35"/>
      <c r="F150" s="35"/>
      <c r="G150" s="35"/>
      <c r="H150" s="35"/>
      <c r="I150" s="35"/>
      <c r="J150" s="35"/>
      <c r="K150" s="34">
        <f t="shared" si="18"/>
        <v>0</v>
      </c>
    </row>
    <row r="151" spans="1:13" ht="13.8" customHeight="1" x14ac:dyDescent="0.25">
      <c r="A151" s="33" t="s">
        <v>2</v>
      </c>
      <c r="B151" s="34"/>
      <c r="C151" s="35"/>
      <c r="D151" s="35"/>
      <c r="E151" s="34"/>
      <c r="F151" s="34"/>
      <c r="G151" s="34"/>
      <c r="H151" s="34"/>
      <c r="I151" s="34"/>
      <c r="J151" s="34"/>
      <c r="K151" s="34">
        <f t="shared" si="18"/>
        <v>0</v>
      </c>
    </row>
    <row r="152" spans="1:13" ht="13.8" customHeight="1" x14ac:dyDescent="0.25">
      <c r="A152" s="33" t="s">
        <v>23</v>
      </c>
      <c r="B152" s="34"/>
      <c r="C152" s="34"/>
      <c r="D152" s="34"/>
      <c r="E152" s="34"/>
      <c r="F152" s="34"/>
      <c r="G152" s="34"/>
      <c r="H152" s="34"/>
      <c r="I152" s="34"/>
      <c r="J152" s="34"/>
      <c r="K152" s="34">
        <f t="shared" si="18"/>
        <v>0</v>
      </c>
    </row>
    <row r="153" spans="1:13" ht="13.8" customHeight="1" x14ac:dyDescent="0.25">
      <c r="A153" s="258" t="s">
        <v>7</v>
      </c>
      <c r="B153" s="259">
        <f t="shared" ref="B153:K153" si="19">SUM(B143:B152)</f>
        <v>0</v>
      </c>
      <c r="C153" s="259">
        <f t="shared" si="19"/>
        <v>0</v>
      </c>
      <c r="D153" s="259">
        <f t="shared" si="19"/>
        <v>0</v>
      </c>
      <c r="E153" s="259">
        <f t="shared" si="19"/>
        <v>0</v>
      </c>
      <c r="F153" s="259">
        <f t="shared" si="19"/>
        <v>0</v>
      </c>
      <c r="G153" s="259">
        <f t="shared" si="19"/>
        <v>0</v>
      </c>
      <c r="H153" s="34"/>
      <c r="I153" s="34"/>
      <c r="J153" s="259">
        <f t="shared" si="19"/>
        <v>0</v>
      </c>
      <c r="K153" s="260">
        <f t="shared" si="19"/>
        <v>0</v>
      </c>
      <c r="M153" s="37"/>
    </row>
    <row r="154" spans="1:13" ht="13.8" customHeight="1" x14ac:dyDescent="0.25">
      <c r="A154" s="258"/>
      <c r="B154" s="259"/>
      <c r="C154" s="259"/>
      <c r="D154" s="259"/>
      <c r="E154" s="259"/>
      <c r="F154" s="259"/>
      <c r="G154" s="259"/>
      <c r="H154" s="34"/>
      <c r="I154" s="34"/>
      <c r="J154" s="259"/>
      <c r="K154" s="260"/>
    </row>
    <row r="155" spans="1:13" s="38" customFormat="1" ht="13.8" customHeight="1" thickBot="1" x14ac:dyDescent="0.35">
      <c r="A155" s="262" t="s">
        <v>129</v>
      </c>
      <c r="B155" s="262"/>
      <c r="C155" s="262"/>
      <c r="D155" s="262"/>
      <c r="E155" s="262"/>
      <c r="F155" s="262"/>
      <c r="G155" s="262"/>
      <c r="H155" s="262"/>
      <c r="I155" s="262"/>
      <c r="J155" s="262"/>
      <c r="K155" s="262"/>
    </row>
    <row r="156" spans="1:13" ht="13.8" customHeight="1" thickBot="1" x14ac:dyDescent="0.3">
      <c r="A156" s="26" t="s">
        <v>0</v>
      </c>
      <c r="B156" s="27"/>
      <c r="C156" s="27"/>
      <c r="D156" s="27"/>
      <c r="E156" s="27"/>
      <c r="F156" s="27"/>
      <c r="G156" s="27"/>
      <c r="H156" s="27"/>
      <c r="I156" s="27"/>
      <c r="J156" s="27"/>
      <c r="K156" s="28" t="s">
        <v>1</v>
      </c>
    </row>
    <row r="157" spans="1:13" ht="13.8" customHeight="1" x14ac:dyDescent="0.25">
      <c r="A157" s="33" t="s">
        <v>22</v>
      </c>
      <c r="B157" s="32"/>
      <c r="C157" s="30"/>
      <c r="D157" s="30"/>
      <c r="E157" s="30"/>
      <c r="F157" s="30"/>
      <c r="G157" s="30"/>
      <c r="H157" s="30"/>
      <c r="I157" s="30"/>
      <c r="J157" s="30"/>
      <c r="K157" s="32">
        <f t="shared" ref="K157:K167" si="20">SUM(B157:J157)</f>
        <v>0</v>
      </c>
    </row>
    <row r="158" spans="1:13" ht="13.8" customHeight="1" x14ac:dyDescent="0.25">
      <c r="A158" s="33" t="s">
        <v>24</v>
      </c>
      <c r="B158" s="34"/>
      <c r="C158" s="35"/>
      <c r="D158" s="34"/>
      <c r="E158" s="35"/>
      <c r="F158" s="35"/>
      <c r="G158" s="35"/>
      <c r="H158" s="35"/>
      <c r="I158" s="35"/>
      <c r="J158" s="35"/>
      <c r="K158" s="32">
        <f t="shared" si="20"/>
        <v>0</v>
      </c>
    </row>
    <row r="159" spans="1:13" ht="13.8" customHeight="1" x14ac:dyDescent="0.25">
      <c r="A159" s="33" t="s">
        <v>3</v>
      </c>
      <c r="B159" s="34"/>
      <c r="C159" s="34"/>
      <c r="D159" s="34"/>
      <c r="E159" s="34"/>
      <c r="F159" s="34"/>
      <c r="G159" s="34"/>
      <c r="H159" s="34"/>
      <c r="I159" s="34"/>
      <c r="J159" s="34"/>
      <c r="K159" s="32">
        <f t="shared" si="20"/>
        <v>0</v>
      </c>
    </row>
    <row r="160" spans="1:13" ht="13.8" customHeight="1" x14ac:dyDescent="0.25">
      <c r="A160" s="33" t="s">
        <v>39</v>
      </c>
      <c r="B160" s="35"/>
      <c r="C160" s="34"/>
      <c r="D160" s="34"/>
      <c r="E160" s="35"/>
      <c r="F160" s="35"/>
      <c r="G160" s="35"/>
      <c r="H160" s="35"/>
      <c r="I160" s="35"/>
      <c r="J160" s="35"/>
      <c r="K160" s="32">
        <f t="shared" si="20"/>
        <v>0</v>
      </c>
    </row>
    <row r="161" spans="1:11" ht="13.8" customHeight="1" x14ac:dyDescent="0.25">
      <c r="A161" s="33" t="s">
        <v>5</v>
      </c>
      <c r="B161" s="35"/>
      <c r="C161" s="34"/>
      <c r="D161" s="34"/>
      <c r="E161" s="35"/>
      <c r="F161" s="35"/>
      <c r="G161" s="35"/>
      <c r="H161" s="35"/>
      <c r="I161" s="35"/>
      <c r="J161" s="35"/>
      <c r="K161" s="32">
        <f t="shared" si="20"/>
        <v>0</v>
      </c>
    </row>
    <row r="162" spans="1:11" ht="13.8" customHeight="1" x14ac:dyDescent="0.25">
      <c r="A162" s="33" t="s">
        <v>21</v>
      </c>
      <c r="B162" s="35"/>
      <c r="C162" s="35"/>
      <c r="D162" s="35"/>
      <c r="E162" s="35"/>
      <c r="F162" s="35"/>
      <c r="G162" s="36"/>
      <c r="H162" s="36"/>
      <c r="I162" s="36"/>
      <c r="J162" s="35"/>
      <c r="K162" s="32">
        <f t="shared" si="20"/>
        <v>0</v>
      </c>
    </row>
    <row r="163" spans="1:11" ht="13.8" customHeight="1" x14ac:dyDescent="0.25">
      <c r="A163" s="33" t="s">
        <v>8</v>
      </c>
      <c r="B163" s="35"/>
      <c r="C163" s="35"/>
      <c r="D163" s="35"/>
      <c r="E163" s="35"/>
      <c r="F163" s="35"/>
      <c r="G163" s="36"/>
      <c r="H163" s="36"/>
      <c r="I163" s="36"/>
      <c r="J163" s="35"/>
      <c r="K163" s="32">
        <f t="shared" si="20"/>
        <v>0</v>
      </c>
    </row>
    <row r="164" spans="1:11" ht="13.8" customHeight="1" x14ac:dyDescent="0.25">
      <c r="A164" s="33" t="s">
        <v>4</v>
      </c>
      <c r="B164" s="35"/>
      <c r="C164" s="34"/>
      <c r="D164" s="34"/>
      <c r="E164" s="35"/>
      <c r="F164" s="35"/>
      <c r="G164" s="35"/>
      <c r="H164" s="35"/>
      <c r="I164" s="35"/>
      <c r="J164" s="35"/>
      <c r="K164" s="32">
        <f t="shared" si="20"/>
        <v>0</v>
      </c>
    </row>
    <row r="165" spans="1:11" ht="13.8" customHeight="1" x14ac:dyDescent="0.25">
      <c r="A165" s="33" t="s">
        <v>2</v>
      </c>
      <c r="B165" s="35"/>
      <c r="C165" s="34"/>
      <c r="D165" s="34"/>
      <c r="E165" s="35"/>
      <c r="F165" s="35"/>
      <c r="G165" s="35"/>
      <c r="H165" s="35"/>
      <c r="I165" s="35"/>
      <c r="J165" s="35"/>
      <c r="K165" s="32">
        <f t="shared" si="20"/>
        <v>0</v>
      </c>
    </row>
    <row r="166" spans="1:11" ht="13.8" customHeight="1" x14ac:dyDescent="0.25">
      <c r="A166" s="33" t="s">
        <v>23</v>
      </c>
      <c r="B166" s="34"/>
      <c r="C166" s="35"/>
      <c r="D166" s="35"/>
      <c r="E166" s="34"/>
      <c r="F166" s="34"/>
      <c r="G166" s="34"/>
      <c r="H166" s="34"/>
      <c r="I166" s="34"/>
      <c r="J166" s="34"/>
      <c r="K166" s="32">
        <f t="shared" si="20"/>
        <v>0</v>
      </c>
    </row>
    <row r="167" spans="1:11" ht="13.8" customHeight="1" x14ac:dyDescent="0.25">
      <c r="A167" s="33" t="s">
        <v>6</v>
      </c>
      <c r="B167" s="34"/>
      <c r="C167" s="34"/>
      <c r="D167" s="34"/>
      <c r="E167" s="34"/>
      <c r="F167" s="34"/>
      <c r="G167" s="34"/>
      <c r="H167" s="34"/>
      <c r="I167" s="34"/>
      <c r="J167" s="34"/>
      <c r="K167" s="32">
        <f t="shared" si="20"/>
        <v>0</v>
      </c>
    </row>
    <row r="168" spans="1:11" ht="13.8" customHeight="1" x14ac:dyDescent="0.25">
      <c r="A168" s="258" t="s">
        <v>7</v>
      </c>
      <c r="B168" s="259">
        <f t="shared" ref="B168:K168" si="21">SUM(B157:B167)</f>
        <v>0</v>
      </c>
      <c r="C168" s="259">
        <f t="shared" si="21"/>
        <v>0</v>
      </c>
      <c r="D168" s="259">
        <f t="shared" si="21"/>
        <v>0</v>
      </c>
      <c r="E168" s="259">
        <f t="shared" si="21"/>
        <v>0</v>
      </c>
      <c r="F168" s="259">
        <f t="shared" si="21"/>
        <v>0</v>
      </c>
      <c r="G168" s="259">
        <f t="shared" si="21"/>
        <v>0</v>
      </c>
      <c r="H168" s="34"/>
      <c r="I168" s="34"/>
      <c r="J168" s="259">
        <f t="shared" si="21"/>
        <v>0</v>
      </c>
      <c r="K168" s="260">
        <f t="shared" si="21"/>
        <v>0</v>
      </c>
    </row>
    <row r="169" spans="1:11" ht="13.8" customHeight="1" x14ac:dyDescent="0.25">
      <c r="A169" s="258"/>
      <c r="B169" s="259"/>
      <c r="C169" s="259"/>
      <c r="D169" s="259"/>
      <c r="E169" s="259"/>
      <c r="F169" s="259"/>
      <c r="G169" s="259"/>
      <c r="H169" s="34"/>
      <c r="I169" s="34"/>
      <c r="J169" s="259"/>
      <c r="K169" s="260"/>
    </row>
    <row r="170" spans="1:11" s="38" customFormat="1" ht="13.8" customHeight="1" thickBot="1" x14ac:dyDescent="0.35">
      <c r="A170" s="262" t="s">
        <v>130</v>
      </c>
      <c r="B170" s="262"/>
      <c r="C170" s="262"/>
      <c r="D170" s="262"/>
      <c r="E170" s="262"/>
      <c r="F170" s="262"/>
      <c r="G170" s="262"/>
      <c r="H170" s="262"/>
      <c r="I170" s="262"/>
      <c r="J170" s="262"/>
      <c r="K170" s="262"/>
    </row>
    <row r="171" spans="1:11" ht="13.8" customHeight="1" thickBot="1" x14ac:dyDescent="0.3">
      <c r="A171" s="26" t="s">
        <v>0</v>
      </c>
      <c r="B171" s="27"/>
      <c r="C171" s="27"/>
      <c r="D171" s="27"/>
      <c r="E171" s="27"/>
      <c r="F171" s="27"/>
      <c r="G171" s="27"/>
      <c r="H171" s="27"/>
      <c r="I171" s="27"/>
      <c r="J171" s="27"/>
      <c r="K171" s="28" t="s">
        <v>1</v>
      </c>
    </row>
    <row r="172" spans="1:11" ht="13.8" customHeight="1" x14ac:dyDescent="0.25">
      <c r="A172" s="33" t="s">
        <v>22</v>
      </c>
      <c r="B172" s="32"/>
      <c r="C172" s="30"/>
      <c r="D172" s="30"/>
      <c r="E172" s="30"/>
      <c r="F172" s="30"/>
      <c r="G172" s="30"/>
      <c r="H172" s="30"/>
      <c r="I172" s="30"/>
      <c r="J172" s="30"/>
      <c r="K172" s="32">
        <f t="shared" ref="K172:K182" si="22">SUM(B172:J172)</f>
        <v>0</v>
      </c>
    </row>
    <row r="173" spans="1:11" ht="13.8" customHeight="1" x14ac:dyDescent="0.25">
      <c r="A173" s="33" t="s">
        <v>24</v>
      </c>
      <c r="B173" s="34"/>
      <c r="C173" s="35"/>
      <c r="D173" s="34"/>
      <c r="E173" s="35"/>
      <c r="F173" s="35"/>
      <c r="G173" s="35"/>
      <c r="H173" s="35"/>
      <c r="I173" s="35"/>
      <c r="J173" s="35"/>
      <c r="K173" s="32">
        <f t="shared" si="22"/>
        <v>0</v>
      </c>
    </row>
    <row r="174" spans="1:11" ht="13.8" customHeight="1" x14ac:dyDescent="0.25">
      <c r="A174" s="33" t="s">
        <v>3</v>
      </c>
      <c r="B174" s="34"/>
      <c r="C174" s="34"/>
      <c r="D174" s="34"/>
      <c r="E174" s="34"/>
      <c r="F174" s="34"/>
      <c r="G174" s="34"/>
      <c r="H174" s="34"/>
      <c r="I174" s="34"/>
      <c r="J174" s="34"/>
      <c r="K174" s="32">
        <f t="shared" si="22"/>
        <v>0</v>
      </c>
    </row>
    <row r="175" spans="1:11" ht="13.8" customHeight="1" x14ac:dyDescent="0.25">
      <c r="A175" s="33" t="s">
        <v>39</v>
      </c>
      <c r="B175" s="35"/>
      <c r="C175" s="34"/>
      <c r="D175" s="34"/>
      <c r="E175" s="35"/>
      <c r="F175" s="35"/>
      <c r="G175" s="35"/>
      <c r="H175" s="35"/>
      <c r="I175" s="35"/>
      <c r="J175" s="35"/>
      <c r="K175" s="32">
        <f t="shared" si="22"/>
        <v>0</v>
      </c>
    </row>
    <row r="176" spans="1:11" ht="13.8" customHeight="1" x14ac:dyDescent="0.25">
      <c r="A176" s="33" t="s">
        <v>5</v>
      </c>
      <c r="B176" s="35"/>
      <c r="C176" s="34"/>
      <c r="D176" s="34"/>
      <c r="E176" s="35"/>
      <c r="F176" s="35"/>
      <c r="G176" s="35"/>
      <c r="H176" s="35"/>
      <c r="I176" s="35"/>
      <c r="J176" s="35"/>
      <c r="K176" s="32">
        <f t="shared" si="22"/>
        <v>0</v>
      </c>
    </row>
    <row r="177" spans="1:11" ht="13.8" customHeight="1" x14ac:dyDescent="0.25">
      <c r="A177" s="33" t="s">
        <v>21</v>
      </c>
      <c r="B177" s="35"/>
      <c r="C177" s="34"/>
      <c r="D177" s="34"/>
      <c r="E177" s="35"/>
      <c r="F177" s="35"/>
      <c r="G177" s="35"/>
      <c r="H177" s="35"/>
      <c r="I177" s="35"/>
      <c r="J177" s="35"/>
      <c r="K177" s="32">
        <f t="shared" si="22"/>
        <v>0</v>
      </c>
    </row>
    <row r="178" spans="1:11" ht="13.8" customHeight="1" x14ac:dyDescent="0.25">
      <c r="A178" s="33" t="s">
        <v>8</v>
      </c>
      <c r="B178" s="35"/>
      <c r="C178" s="35"/>
      <c r="D178" s="35"/>
      <c r="E178" s="35"/>
      <c r="F178" s="35"/>
      <c r="G178" s="36"/>
      <c r="H178" s="36"/>
      <c r="I178" s="36"/>
      <c r="J178" s="35"/>
      <c r="K178" s="32">
        <f t="shared" si="22"/>
        <v>0</v>
      </c>
    </row>
    <row r="179" spans="1:11" ht="13.8" customHeight="1" x14ac:dyDescent="0.25">
      <c r="A179" s="33" t="s">
        <v>4</v>
      </c>
      <c r="B179" s="35"/>
      <c r="C179" s="34"/>
      <c r="D179" s="34"/>
      <c r="E179" s="35"/>
      <c r="F179" s="35"/>
      <c r="G179" s="35"/>
      <c r="H179" s="35"/>
      <c r="I179" s="35"/>
      <c r="J179" s="35"/>
      <c r="K179" s="32">
        <f t="shared" si="22"/>
        <v>0</v>
      </c>
    </row>
    <row r="180" spans="1:11" ht="13.8" customHeight="1" x14ac:dyDescent="0.25">
      <c r="A180" s="33" t="s">
        <v>2</v>
      </c>
      <c r="B180" s="35"/>
      <c r="C180" s="34"/>
      <c r="D180" s="34"/>
      <c r="E180" s="35"/>
      <c r="F180" s="35"/>
      <c r="G180" s="35"/>
      <c r="H180" s="35"/>
      <c r="I180" s="35"/>
      <c r="J180" s="35"/>
      <c r="K180" s="32">
        <f t="shared" si="22"/>
        <v>0</v>
      </c>
    </row>
    <row r="181" spans="1:11" ht="13.8" customHeight="1" x14ac:dyDescent="0.25">
      <c r="A181" s="33" t="s">
        <v>23</v>
      </c>
      <c r="B181" s="34"/>
      <c r="C181" s="35"/>
      <c r="D181" s="35"/>
      <c r="E181" s="34"/>
      <c r="F181" s="34"/>
      <c r="G181" s="34"/>
      <c r="H181" s="34"/>
      <c r="I181" s="34"/>
      <c r="J181" s="34"/>
      <c r="K181" s="32">
        <f t="shared" si="22"/>
        <v>0</v>
      </c>
    </row>
    <row r="182" spans="1:11" ht="13.8" customHeight="1" x14ac:dyDescent="0.25">
      <c r="A182" s="33" t="s">
        <v>6</v>
      </c>
      <c r="B182" s="34"/>
      <c r="C182" s="34"/>
      <c r="D182" s="34"/>
      <c r="E182" s="34"/>
      <c r="F182" s="34"/>
      <c r="G182" s="34"/>
      <c r="H182" s="34"/>
      <c r="I182" s="34"/>
      <c r="J182" s="34"/>
      <c r="K182" s="32">
        <f t="shared" si="22"/>
        <v>0</v>
      </c>
    </row>
    <row r="183" spans="1:11" ht="13.8" customHeight="1" x14ac:dyDescent="0.25">
      <c r="A183" s="277" t="s">
        <v>7</v>
      </c>
      <c r="B183" s="273">
        <f t="shared" ref="B183:K183" si="23">SUM(B172:B182)</f>
        <v>0</v>
      </c>
      <c r="C183" s="273">
        <f t="shared" si="23"/>
        <v>0</v>
      </c>
      <c r="D183" s="273">
        <f t="shared" si="23"/>
        <v>0</v>
      </c>
      <c r="E183" s="273">
        <f t="shared" si="23"/>
        <v>0</v>
      </c>
      <c r="F183" s="273">
        <f t="shared" si="23"/>
        <v>0</v>
      </c>
      <c r="G183" s="273">
        <f t="shared" si="23"/>
        <v>0</v>
      </c>
      <c r="H183" s="54"/>
      <c r="I183" s="54"/>
      <c r="J183" s="273">
        <f t="shared" si="23"/>
        <v>0</v>
      </c>
      <c r="K183" s="275">
        <f t="shared" si="23"/>
        <v>0</v>
      </c>
    </row>
    <row r="184" spans="1:11" ht="13.2" customHeight="1" x14ac:dyDescent="0.25">
      <c r="A184" s="278"/>
      <c r="B184" s="274"/>
      <c r="C184" s="274"/>
      <c r="D184" s="274"/>
      <c r="E184" s="274"/>
      <c r="F184" s="274"/>
      <c r="G184" s="274"/>
      <c r="H184" s="32"/>
      <c r="I184" s="32"/>
      <c r="J184" s="274"/>
      <c r="K184" s="276"/>
    </row>
  </sheetData>
  <mergeCells count="120">
    <mergeCell ref="F183:F184"/>
    <mergeCell ref="G183:G184"/>
    <mergeCell ref="J183:J184"/>
    <mergeCell ref="K183:K184"/>
    <mergeCell ref="A1:I1"/>
    <mergeCell ref="A17:G17"/>
    <mergeCell ref="A33:G33"/>
    <mergeCell ref="F168:F169"/>
    <mergeCell ref="G168:G169"/>
    <mergeCell ref="J168:J169"/>
    <mergeCell ref="K168:K169"/>
    <mergeCell ref="A170:K170"/>
    <mergeCell ref="A183:A184"/>
    <mergeCell ref="B183:B184"/>
    <mergeCell ref="C183:C184"/>
    <mergeCell ref="D183:D184"/>
    <mergeCell ref="E183:E184"/>
    <mergeCell ref="F153:F154"/>
    <mergeCell ref="G153:G154"/>
    <mergeCell ref="J153:J154"/>
    <mergeCell ref="K153:K154"/>
    <mergeCell ref="A155:K155"/>
    <mergeCell ref="A168:A169"/>
    <mergeCell ref="B168:B169"/>
    <mergeCell ref="A126:K126"/>
    <mergeCell ref="L128:O128"/>
    <mergeCell ref="A139:A140"/>
    <mergeCell ref="B139:B140"/>
    <mergeCell ref="C139:C140"/>
    <mergeCell ref="D139:D140"/>
    <mergeCell ref="E139:E140"/>
    <mergeCell ref="F139:F140"/>
    <mergeCell ref="C168:C169"/>
    <mergeCell ref="D168:D169"/>
    <mergeCell ref="E168:E169"/>
    <mergeCell ref="G139:G140"/>
    <mergeCell ref="J139:J140"/>
    <mergeCell ref="K139:K140"/>
    <mergeCell ref="L139:O140"/>
    <mergeCell ref="A141:K141"/>
    <mergeCell ref="A153:A154"/>
    <mergeCell ref="B153:B154"/>
    <mergeCell ref="C153:C154"/>
    <mergeCell ref="D153:D154"/>
    <mergeCell ref="E153:E154"/>
    <mergeCell ref="A111:K111"/>
    <mergeCell ref="A124:A125"/>
    <mergeCell ref="B124:B125"/>
    <mergeCell ref="C124:C125"/>
    <mergeCell ref="D124:D125"/>
    <mergeCell ref="E124:E125"/>
    <mergeCell ref="F124:F125"/>
    <mergeCell ref="G124:G125"/>
    <mergeCell ref="J124:J125"/>
    <mergeCell ref="K124:K125"/>
    <mergeCell ref="A109:A110"/>
    <mergeCell ref="B109:B110"/>
    <mergeCell ref="C109:C110"/>
    <mergeCell ref="D109:D110"/>
    <mergeCell ref="E109:E110"/>
    <mergeCell ref="F109:F110"/>
    <mergeCell ref="G109:G110"/>
    <mergeCell ref="J109:J110"/>
    <mergeCell ref="K109:K110"/>
    <mergeCell ref="A81:K81"/>
    <mergeCell ref="A95:A96"/>
    <mergeCell ref="B95:B96"/>
    <mergeCell ref="C95:C96"/>
    <mergeCell ref="D95:D96"/>
    <mergeCell ref="E95:E96"/>
    <mergeCell ref="F95:F96"/>
    <mergeCell ref="G95:G96"/>
    <mergeCell ref="H95:H96"/>
    <mergeCell ref="I95:I96"/>
    <mergeCell ref="J95:J96"/>
    <mergeCell ref="K95:K96"/>
    <mergeCell ref="A65:K65"/>
    <mergeCell ref="A79:A80"/>
    <mergeCell ref="B79:B80"/>
    <mergeCell ref="C79:C80"/>
    <mergeCell ref="D79:D80"/>
    <mergeCell ref="E79:E80"/>
    <mergeCell ref="F79:F80"/>
    <mergeCell ref="G79:G80"/>
    <mergeCell ref="H79:H80"/>
    <mergeCell ref="I79:I80"/>
    <mergeCell ref="J79:J80"/>
    <mergeCell ref="K79:K80"/>
    <mergeCell ref="A63:A64"/>
    <mergeCell ref="B63:B64"/>
    <mergeCell ref="C63:C64"/>
    <mergeCell ref="D63:D64"/>
    <mergeCell ref="E63:E64"/>
    <mergeCell ref="F63:F64"/>
    <mergeCell ref="G63:G64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A31:A32"/>
    <mergeCell ref="B31:B32"/>
    <mergeCell ref="C31:C32"/>
    <mergeCell ref="D31:D32"/>
    <mergeCell ref="E31:E32"/>
    <mergeCell ref="F31:F32"/>
    <mergeCell ref="G31:G32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workbookViewId="0">
      <selection activeCell="N9" sqref="N9"/>
    </sheetView>
  </sheetViews>
  <sheetFormatPr defaultColWidth="11.5546875" defaultRowHeight="13.2" x14ac:dyDescent="0.25"/>
  <cols>
    <col min="1" max="1" width="42.44140625" customWidth="1"/>
    <col min="2" max="6" width="12" customWidth="1"/>
    <col min="7" max="7" width="11.88671875" customWidth="1"/>
    <col min="8" max="13" width="12" hidden="1" customWidth="1"/>
    <col min="14" max="14" width="13.6640625" customWidth="1"/>
  </cols>
  <sheetData>
    <row r="1" spans="1:14" ht="17.399999999999999" x14ac:dyDescent="0.25">
      <c r="A1" s="279" t="s">
        <v>131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34.799999999999997" x14ac:dyDescent="0.25">
      <c r="A2" s="5" t="s">
        <v>0</v>
      </c>
      <c r="B2" s="6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6" t="s">
        <v>14</v>
      </c>
      <c r="H2" s="6" t="s">
        <v>15</v>
      </c>
      <c r="I2" s="6" t="s">
        <v>16</v>
      </c>
      <c r="J2" s="6" t="s">
        <v>17</v>
      </c>
      <c r="K2" s="6" t="s">
        <v>18</v>
      </c>
      <c r="L2" s="6" t="s">
        <v>19</v>
      </c>
      <c r="M2" s="6" t="s">
        <v>20</v>
      </c>
      <c r="N2" s="7" t="s">
        <v>1</v>
      </c>
    </row>
    <row r="3" spans="1:14" ht="18" x14ac:dyDescent="0.25">
      <c r="A3" s="2" t="s">
        <v>22</v>
      </c>
      <c r="B3" s="3">
        <f>'[2]по месяцам'!I3</f>
        <v>78400</v>
      </c>
      <c r="C3" s="3">
        <f>'[2]по месяцам'!G19</f>
        <v>39200</v>
      </c>
      <c r="D3" s="3">
        <f>'[2]по месяцам'!I35</f>
        <v>39200</v>
      </c>
      <c r="E3" s="3">
        <f>'[2]по месяцам'!G51</f>
        <v>0</v>
      </c>
      <c r="F3" s="3">
        <f>'[2]по месяцам'!K67</f>
        <v>78400</v>
      </c>
      <c r="G3" s="3">
        <f>'банк 2024'!K83</f>
        <v>39200</v>
      </c>
      <c r="H3" s="3">
        <f>'[2]по месяцам'!J51</f>
        <v>0</v>
      </c>
      <c r="I3" s="3">
        <f>'[2]по месяцам'!K51</f>
        <v>0</v>
      </c>
      <c r="J3" s="3">
        <f>'[2]по месяцам'!L51</f>
        <v>0</v>
      </c>
      <c r="K3" s="3">
        <f>'[2]по месяцам'!M51</f>
        <v>0</v>
      </c>
      <c r="L3" s="3">
        <f>'[2]по месяцам'!N51</f>
        <v>0</v>
      </c>
      <c r="M3" s="3">
        <f>'[2]по месяцам'!O51</f>
        <v>0</v>
      </c>
      <c r="N3" s="24">
        <f t="shared" ref="N3:N14" si="0">SUM(B3:M3)</f>
        <v>274400</v>
      </c>
    </row>
    <row r="4" spans="1:14" ht="18" x14ac:dyDescent="0.25">
      <c r="A4" s="2" t="s">
        <v>24</v>
      </c>
      <c r="B4" s="3">
        <f>'[2]по месяцам'!I4</f>
        <v>20010</v>
      </c>
      <c r="C4" s="3">
        <f>'[2]по месяцам'!G20</f>
        <v>20010</v>
      </c>
      <c r="D4" s="3">
        <f>'[2]по месяцам'!I36</f>
        <v>20010</v>
      </c>
      <c r="E4" s="3">
        <f>'[2]по месяцам'!G52</f>
        <v>0</v>
      </c>
      <c r="F4" s="3">
        <f>'[2]по месяцам'!K68</f>
        <v>40020</v>
      </c>
      <c r="G4" s="3">
        <f>'банк 2024'!K84</f>
        <v>20010</v>
      </c>
      <c r="H4" s="3">
        <f>'[2]по месяцам'!J52</f>
        <v>0</v>
      </c>
      <c r="I4" s="3">
        <f>'[2]по месяцам'!K52</f>
        <v>0</v>
      </c>
      <c r="J4" s="3">
        <f>'[2]по месяцам'!L52</f>
        <v>0</v>
      </c>
      <c r="K4" s="3">
        <f>'[2]по месяцам'!M52</f>
        <v>0</v>
      </c>
      <c r="L4" s="3">
        <f>'[2]по месяцам'!N52</f>
        <v>0</v>
      </c>
      <c r="M4" s="3">
        <f>'[2]по месяцам'!O52</f>
        <v>0</v>
      </c>
      <c r="N4" s="24">
        <f t="shared" si="0"/>
        <v>120060</v>
      </c>
    </row>
    <row r="5" spans="1:14" ht="18" x14ac:dyDescent="0.25">
      <c r="A5" s="2" t="s">
        <v>3</v>
      </c>
      <c r="B5" s="3">
        <f>'[2]по месяцам'!I5</f>
        <v>30311.370000000003</v>
      </c>
      <c r="C5" s="3">
        <f>'[2]по месяцам'!G21</f>
        <v>56755.68</v>
      </c>
      <c r="D5" s="3">
        <f>'[2]по месяцам'!I37</f>
        <v>24503.79</v>
      </c>
      <c r="E5" s="3">
        <f>'[2]по месяцам'!G53</f>
        <v>34903.79</v>
      </c>
      <c r="F5" s="3">
        <f>'[2]по месяцам'!K69</f>
        <v>120881.63</v>
      </c>
      <c r="G5" s="3">
        <f>'банк 2024'!K85</f>
        <v>118103.79</v>
      </c>
      <c r="H5" s="3">
        <f>'[2]по месяцам'!J53</f>
        <v>0</v>
      </c>
      <c r="I5" s="3">
        <f>'[2]по месяцам'!K53</f>
        <v>0</v>
      </c>
      <c r="J5" s="3">
        <f>'[2]по месяцам'!L53</f>
        <v>0</v>
      </c>
      <c r="K5" s="3">
        <f>'[2]по месяцам'!M53</f>
        <v>0</v>
      </c>
      <c r="L5" s="3">
        <f>'[2]по месяцам'!N53</f>
        <v>0</v>
      </c>
      <c r="M5" s="3">
        <f>'[2]по месяцам'!O53</f>
        <v>0</v>
      </c>
      <c r="N5" s="24">
        <f t="shared" si="0"/>
        <v>385460.05</v>
      </c>
    </row>
    <row r="6" spans="1:14" ht="18" x14ac:dyDescent="0.25">
      <c r="A6" s="2" t="s">
        <v>39</v>
      </c>
      <c r="B6" s="3">
        <f>'[2]по месяцам'!I6</f>
        <v>49926.96</v>
      </c>
      <c r="C6" s="3">
        <f>'[2]по месяцам'!G22</f>
        <v>61174.5</v>
      </c>
      <c r="D6" s="3">
        <f>'[2]по месяцам'!I38</f>
        <v>58083.729999999996</v>
      </c>
      <c r="E6" s="3">
        <f>'[2]по месяцам'!G54</f>
        <v>16388.04</v>
      </c>
      <c r="F6" s="3">
        <f>'[2]по месяцам'!K70</f>
        <v>107810</v>
      </c>
      <c r="G6" s="3">
        <f>'банк 2024'!K86</f>
        <v>42898</v>
      </c>
      <c r="H6" s="3">
        <f>'[2]по месяцам'!J54</f>
        <v>0</v>
      </c>
      <c r="I6" s="3">
        <f>'[2]по месяцам'!K54</f>
        <v>0</v>
      </c>
      <c r="J6" s="3">
        <f>'[2]по месяцам'!L54</f>
        <v>0</v>
      </c>
      <c r="K6" s="3">
        <f>'[2]по месяцам'!M54</f>
        <v>0</v>
      </c>
      <c r="L6" s="3">
        <f>'[2]по месяцам'!N54</f>
        <v>0</v>
      </c>
      <c r="M6" s="3">
        <f>'[2]по месяцам'!O54</f>
        <v>0</v>
      </c>
      <c r="N6" s="24">
        <f t="shared" si="0"/>
        <v>336281.23</v>
      </c>
    </row>
    <row r="7" spans="1:14" ht="18" x14ac:dyDescent="0.25">
      <c r="A7" s="2" t="s">
        <v>120</v>
      </c>
      <c r="B7" s="3">
        <f>'[2]по месяцам'!I7</f>
        <v>13930.44</v>
      </c>
      <c r="C7" s="3">
        <f>'[2]по месяцам'!G23</f>
        <v>13930.44</v>
      </c>
      <c r="D7" s="3">
        <f>'[2]по месяцам'!I39</f>
        <v>13930.44</v>
      </c>
      <c r="E7" s="3">
        <f>'[2]по месяцам'!G55</f>
        <v>0</v>
      </c>
      <c r="F7" s="3">
        <f>'[2]по месяцам'!K71</f>
        <v>27860.880000000001</v>
      </c>
      <c r="G7" s="3">
        <f>'банк 2024'!K87</f>
        <v>13930.44</v>
      </c>
      <c r="H7" s="3">
        <f>'[2]по месяцам'!J55</f>
        <v>0</v>
      </c>
      <c r="I7" s="3">
        <f>'[2]по месяцам'!K55</f>
        <v>0</v>
      </c>
      <c r="J7" s="3">
        <f>'[2]по месяцам'!L55</f>
        <v>0</v>
      </c>
      <c r="K7" s="3">
        <f>'[2]по месяцам'!M55</f>
        <v>0</v>
      </c>
      <c r="L7" s="3">
        <f>'[2]по месяцам'!N55</f>
        <v>0</v>
      </c>
      <c r="M7" s="3">
        <f>'[2]по месяцам'!O55</f>
        <v>0</v>
      </c>
      <c r="N7" s="24">
        <f t="shared" si="0"/>
        <v>83582.64</v>
      </c>
    </row>
    <row r="8" spans="1:14" ht="18" x14ac:dyDescent="0.25">
      <c r="A8" s="2" t="s">
        <v>5</v>
      </c>
      <c r="B8" s="3">
        <f>'[2]по месяцам'!I8</f>
        <v>57258</v>
      </c>
      <c r="C8" s="3">
        <f>'[2]по месяцам'!G24</f>
        <v>97011</v>
      </c>
      <c r="D8" s="3">
        <f>'[2]по месяцам'!I40</f>
        <v>130612.5</v>
      </c>
      <c r="E8" s="3">
        <f>'[2]по месяцам'!G56</f>
        <v>0</v>
      </c>
      <c r="F8" s="3">
        <f>'[2]по месяцам'!K72</f>
        <v>379.8</v>
      </c>
      <c r="G8" s="3">
        <f>'банк 2024'!K88</f>
        <v>36.9</v>
      </c>
      <c r="H8" s="3">
        <f>'[2]по месяцам'!J56</f>
        <v>0</v>
      </c>
      <c r="I8" s="3">
        <f>'[2]по месяцам'!K56</f>
        <v>0</v>
      </c>
      <c r="J8" s="3">
        <f>'[2]по месяцам'!L56</f>
        <v>0</v>
      </c>
      <c r="K8" s="3">
        <f>'[2]по месяцам'!M56</f>
        <v>0</v>
      </c>
      <c r="L8" s="3">
        <f>'[2]по месяцам'!N56</f>
        <v>0</v>
      </c>
      <c r="M8" s="3">
        <f>'[2]по месяцам'!O56</f>
        <v>0</v>
      </c>
      <c r="N8" s="24">
        <f t="shared" si="0"/>
        <v>285298.2</v>
      </c>
    </row>
    <row r="9" spans="1:14" ht="18" x14ac:dyDescent="0.25">
      <c r="A9" s="2" t="s">
        <v>21</v>
      </c>
      <c r="B9" s="3">
        <f>'[2]по месяцам'!I9</f>
        <v>40020</v>
      </c>
      <c r="C9" s="3">
        <f>'[2]по месяцам'!G25</f>
        <v>59142.44</v>
      </c>
      <c r="D9" s="3">
        <f>'[2]по месяцам'!I41</f>
        <v>20010</v>
      </c>
      <c r="E9" s="3">
        <f>'[2]по месяцам'!G57</f>
        <v>0</v>
      </c>
      <c r="F9" s="3">
        <f>'[2]по месяцам'!K73</f>
        <v>80040</v>
      </c>
      <c r="G9" s="3">
        <f>'банк 2024'!K89</f>
        <v>40020</v>
      </c>
      <c r="H9" s="3">
        <f>'[2]по месяцам'!J57</f>
        <v>0</v>
      </c>
      <c r="I9" s="3">
        <f>'[2]по месяцам'!K57</f>
        <v>0</v>
      </c>
      <c r="J9" s="3">
        <f>'[2]по месяцам'!L57</f>
        <v>0</v>
      </c>
      <c r="K9" s="3">
        <f>'[2]по месяцам'!M57</f>
        <v>0</v>
      </c>
      <c r="L9" s="3">
        <f>'[2]по месяцам'!N57</f>
        <v>0</v>
      </c>
      <c r="M9" s="3">
        <f>'[2]по месяцам'!O57</f>
        <v>0</v>
      </c>
      <c r="N9" s="24">
        <f t="shared" si="0"/>
        <v>239232.44</v>
      </c>
    </row>
    <row r="10" spans="1:14" ht="18" x14ac:dyDescent="0.25">
      <c r="A10" s="2" t="s">
        <v>8</v>
      </c>
      <c r="B10" s="3">
        <f>'[2]по месяцам'!I10</f>
        <v>18162</v>
      </c>
      <c r="C10" s="3">
        <f>'[2]по месяцам'!G26</f>
        <v>0</v>
      </c>
      <c r="D10" s="3">
        <f>'[2]по месяцам'!I42</f>
        <v>18162</v>
      </c>
      <c r="E10" s="3">
        <f>'[2]по месяцам'!G58</f>
        <v>0</v>
      </c>
      <c r="F10" s="3">
        <f>'[2]по месяцам'!K74</f>
        <v>18162</v>
      </c>
      <c r="G10" s="3">
        <f>'банк 2024'!K90</f>
        <v>7081</v>
      </c>
      <c r="H10" s="3">
        <f>'[2]по месяцам'!J58</f>
        <v>0</v>
      </c>
      <c r="I10" s="3">
        <f>'[2]по месяцам'!K58</f>
        <v>0</v>
      </c>
      <c r="J10" s="3">
        <f>'[2]по месяцам'!L58</f>
        <v>0</v>
      </c>
      <c r="K10" s="3">
        <f>'[2]по месяцам'!M58</f>
        <v>0</v>
      </c>
      <c r="L10" s="3">
        <f>'[2]по месяцам'!N58</f>
        <v>0</v>
      </c>
      <c r="M10" s="3">
        <f>'[2]по месяцам'!O58</f>
        <v>0</v>
      </c>
      <c r="N10" s="24">
        <f t="shared" si="0"/>
        <v>61567</v>
      </c>
    </row>
    <row r="11" spans="1:14" ht="18" x14ac:dyDescent="0.25">
      <c r="A11" s="2" t="s">
        <v>4</v>
      </c>
      <c r="B11" s="3">
        <f>'[2]по месяцам'!I11</f>
        <v>0</v>
      </c>
      <c r="C11" s="3">
        <f>'[2]по месяцам'!G27</f>
        <v>0</v>
      </c>
      <c r="D11" s="3">
        <f>'[2]по месяцам'!I43</f>
        <v>0</v>
      </c>
      <c r="E11" s="3">
        <f>'[2]по месяцам'!G59</f>
        <v>0</v>
      </c>
      <c r="F11" s="3">
        <f>'[2]по месяцам'!K75</f>
        <v>0</v>
      </c>
      <c r="G11" s="3">
        <f>'банк 2024'!K91</f>
        <v>0</v>
      </c>
      <c r="H11" s="3">
        <f>'[2]по месяцам'!J59</f>
        <v>0</v>
      </c>
      <c r="I11" s="3">
        <f>'[2]по месяцам'!K59</f>
        <v>0</v>
      </c>
      <c r="J11" s="3">
        <f>'[2]по месяцам'!L59</f>
        <v>0</v>
      </c>
      <c r="K11" s="3">
        <f>'[2]по месяцам'!M59</f>
        <v>0</v>
      </c>
      <c r="L11" s="3">
        <f>'[2]по месяцам'!N59</f>
        <v>0</v>
      </c>
      <c r="M11" s="3">
        <f>'[2]по месяцам'!O59</f>
        <v>0</v>
      </c>
      <c r="N11" s="24">
        <f t="shared" si="0"/>
        <v>0</v>
      </c>
    </row>
    <row r="12" spans="1:14" ht="18" x14ac:dyDescent="0.25">
      <c r="A12" s="2" t="s">
        <v>2</v>
      </c>
      <c r="B12" s="3">
        <f>'[2]по месяцам'!I12</f>
        <v>1400.07</v>
      </c>
      <c r="C12" s="3">
        <f>'[2]по месяцам'!G28</f>
        <v>1790.03</v>
      </c>
      <c r="D12" s="3">
        <f>'[2]по месяцам'!I44</f>
        <v>1428.75</v>
      </c>
      <c r="E12" s="3">
        <f>'[2]по месяцам'!G60</f>
        <v>1320.02</v>
      </c>
      <c r="F12" s="3">
        <f>'[2]по месяцам'!K76</f>
        <v>885.09999999999991</v>
      </c>
      <c r="G12" s="3">
        <f>'банк 2024'!K92</f>
        <v>1400.07</v>
      </c>
      <c r="H12" s="3">
        <f>'[2]по месяцам'!J60</f>
        <v>0</v>
      </c>
      <c r="I12" s="3">
        <f>'[2]по месяцам'!K60</f>
        <v>0</v>
      </c>
      <c r="J12" s="3">
        <f>'[2]по месяцам'!L60</f>
        <v>0</v>
      </c>
      <c r="K12" s="3">
        <f>'[2]по месяцам'!M60</f>
        <v>0</v>
      </c>
      <c r="L12" s="3">
        <f>'[2]по месяцам'!N60</f>
        <v>0</v>
      </c>
      <c r="M12" s="3">
        <f>'[2]по месяцам'!O60</f>
        <v>0</v>
      </c>
      <c r="N12" s="24">
        <f t="shared" si="0"/>
        <v>8224.0400000000009</v>
      </c>
    </row>
    <row r="13" spans="1:14" ht="18" x14ac:dyDescent="0.25">
      <c r="A13" s="2" t="s">
        <v>23</v>
      </c>
      <c r="B13" s="3">
        <f>'[2]по месяцам'!I13</f>
        <v>71600</v>
      </c>
      <c r="C13" s="3">
        <f>'[2]по месяцам'!G29</f>
        <v>35800</v>
      </c>
      <c r="D13" s="3">
        <f>'[2]по месяцам'!I45</f>
        <v>35800</v>
      </c>
      <c r="E13" s="3">
        <f>'[2]по месяцам'!G61</f>
        <v>0</v>
      </c>
      <c r="F13" s="3">
        <f>'[2]по месяцам'!K77</f>
        <v>71600</v>
      </c>
      <c r="G13" s="3">
        <f>'банк 2024'!K93</f>
        <v>35800</v>
      </c>
      <c r="H13" s="3">
        <f>'[2]по месяцам'!J61</f>
        <v>0</v>
      </c>
      <c r="I13" s="3">
        <f>'[2]по месяцам'!K61</f>
        <v>0</v>
      </c>
      <c r="J13" s="3">
        <f>'[2]по месяцам'!L61</f>
        <v>0</v>
      </c>
      <c r="K13" s="3">
        <f>'[2]по месяцам'!M61</f>
        <v>0</v>
      </c>
      <c r="L13" s="3">
        <f>'[2]по месяцам'!N61</f>
        <v>0</v>
      </c>
      <c r="M13" s="3">
        <f>'[2]по месяцам'!O61</f>
        <v>0</v>
      </c>
      <c r="N13" s="24">
        <f t="shared" si="0"/>
        <v>250600</v>
      </c>
    </row>
    <row r="14" spans="1:14" ht="18" x14ac:dyDescent="0.25">
      <c r="A14" s="2" t="s">
        <v>6</v>
      </c>
      <c r="B14" s="3">
        <f>'[2]по месяцам'!I14</f>
        <v>0</v>
      </c>
      <c r="C14" s="3">
        <f>'[2]по месяцам'!G30</f>
        <v>0</v>
      </c>
      <c r="D14" s="3">
        <f>'[2]по месяцам'!I46</f>
        <v>0</v>
      </c>
      <c r="E14" s="3">
        <f>'[2]по месяцам'!G62</f>
        <v>0</v>
      </c>
      <c r="F14" s="3">
        <f>'[2]по месяцам'!K78</f>
        <v>25000</v>
      </c>
      <c r="G14" s="3">
        <f>'банк 2024'!K94</f>
        <v>0</v>
      </c>
      <c r="H14" s="3">
        <f>'[2]по месяцам'!J62</f>
        <v>0</v>
      </c>
      <c r="I14" s="3">
        <f>'[2]по месяцам'!K62</f>
        <v>0</v>
      </c>
      <c r="J14" s="3">
        <f>'[2]по месяцам'!L62</f>
        <v>0</v>
      </c>
      <c r="K14" s="3">
        <f>'[2]по месяцам'!M62</f>
        <v>0</v>
      </c>
      <c r="L14" s="3">
        <f>'[2]по месяцам'!N62</f>
        <v>0</v>
      </c>
      <c r="M14" s="3">
        <f>'[2]по месяцам'!O62</f>
        <v>0</v>
      </c>
      <c r="N14" s="24">
        <f t="shared" si="0"/>
        <v>25000</v>
      </c>
    </row>
    <row r="15" spans="1:14" ht="12.75" customHeight="1" x14ac:dyDescent="0.25">
      <c r="A15" s="280" t="s">
        <v>7</v>
      </c>
      <c r="B15" s="281">
        <f t="shared" ref="B15:N15" si="1">SUM(B3:B14)</f>
        <v>381018.84</v>
      </c>
      <c r="C15" s="281">
        <f t="shared" si="1"/>
        <v>384814.09</v>
      </c>
      <c r="D15" s="281">
        <f t="shared" si="1"/>
        <v>361741.21</v>
      </c>
      <c r="E15" s="281">
        <f t="shared" si="1"/>
        <v>52611.85</v>
      </c>
      <c r="F15" s="281">
        <f t="shared" si="1"/>
        <v>571039.40999999992</v>
      </c>
      <c r="G15" s="281">
        <f t="shared" si="1"/>
        <v>318480.2</v>
      </c>
      <c r="H15" s="281">
        <f t="shared" si="1"/>
        <v>0</v>
      </c>
      <c r="I15" s="281">
        <f t="shared" si="1"/>
        <v>0</v>
      </c>
      <c r="J15" s="281">
        <f t="shared" si="1"/>
        <v>0</v>
      </c>
      <c r="K15" s="281">
        <f t="shared" si="1"/>
        <v>0</v>
      </c>
      <c r="L15" s="281">
        <f t="shared" si="1"/>
        <v>0</v>
      </c>
      <c r="M15" s="281">
        <f t="shared" si="1"/>
        <v>0</v>
      </c>
      <c r="N15" s="282">
        <f t="shared" si="1"/>
        <v>2069705.5999999999</v>
      </c>
    </row>
    <row r="16" spans="1:14" x14ac:dyDescent="0.25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2"/>
    </row>
    <row r="18" spans="14:14" x14ac:dyDescent="0.25">
      <c r="N18" s="4"/>
    </row>
  </sheetData>
  <mergeCells count="15">
    <mergeCell ref="A1:N1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Отчет сводный</vt:lpstr>
      <vt:lpstr>приход 22-23</vt:lpstr>
      <vt:lpstr>расход касса1</vt:lpstr>
      <vt:lpstr>расход23-24</vt:lpstr>
      <vt:lpstr>банк2023</vt:lpstr>
      <vt:lpstr>общий банк</vt:lpstr>
      <vt:lpstr>банк 2024</vt:lpstr>
      <vt:lpstr>свод.банк24</vt:lpstr>
      <vt:lpstr>'приход 22-23'!Область_печати</vt:lpstr>
      <vt:lpstr>'расход23-24'!Область_печати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Стелла Неретина</cp:lastModifiedBy>
  <cp:revision>11</cp:revision>
  <cp:lastPrinted>2024-07-29T16:55:46Z</cp:lastPrinted>
  <dcterms:created xsi:type="dcterms:W3CDTF">2023-01-28T15:30:06Z</dcterms:created>
  <dcterms:modified xsi:type="dcterms:W3CDTF">2024-12-15T16:23:24Z</dcterms:modified>
  <dc:language>ru-RU</dc:language>
</cp:coreProperties>
</file>